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<sst xmlns="http://schemas.openxmlformats.org/spreadsheetml/2006/main" count="179" uniqueCount="123">
  <si>
    <t xml:space="preserve"> </t>
  </si>
  <si>
    <t xml:space="preserve">    48    労  働・賃  金  4</t>
  </si>
  <si>
    <t>4  労  働・賃  金    49</t>
  </si>
  <si>
    <t xml:space="preserve">                        ２７       労     働     力     状     態     別</t>
  </si>
  <si>
    <t xml:space="preserve">  １５     歳     以     上     人     口</t>
  </si>
  <si>
    <t>（平成７年）</t>
  </si>
  <si>
    <t>国勢調査（各年10月 1日現在）による。</t>
  </si>
  <si>
    <t>単位：人</t>
  </si>
  <si>
    <t xml:space="preserve">                          労                               働</t>
  </si>
  <si>
    <t xml:space="preserve">                                              力</t>
  </si>
  <si>
    <t xml:space="preserve"> 1)  総         数</t>
  </si>
  <si>
    <t>総           数</t>
  </si>
  <si>
    <t xml:space="preserve">     2)                就                               業</t>
  </si>
  <si>
    <t xml:space="preserve">                                 者</t>
  </si>
  <si>
    <t>4)  非  労  働  力</t>
  </si>
  <si>
    <t>市町村</t>
  </si>
  <si>
    <t>計</t>
  </si>
  <si>
    <t>15  ～  24  歳</t>
  </si>
  <si>
    <t>25  ～  34  歳</t>
  </si>
  <si>
    <t>35  ～  44  歳</t>
  </si>
  <si>
    <t>45  ～  54  歳</t>
  </si>
  <si>
    <t>55  歳  以  上</t>
  </si>
  <si>
    <t>3) 完  全  失  業  者</t>
  </si>
  <si>
    <t>総数</t>
  </si>
  <si>
    <t>＃男</t>
  </si>
  <si>
    <t>昭和 60年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</si>
  <si>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</si>
  <si>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</si>
  <si>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</si>
  <si>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</si>
  <si>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</si>
  <si>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</si>
  <si>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</si>
  <si>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</si>
  <si>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</si>
  <si>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</si>
  <si>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</si>
  <si>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</si>
  <si>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</si>
  <si>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</si>
  <si>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</si>
  <si>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</si>
  <si>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</si>
  <si>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</si>
  <si>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</si>
  <si>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</si>
  <si>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</si>
  <si>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</si>
  <si>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</si>
  <si>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</si>
  <si>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</si>
  <si>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</si>
  <si>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</si>
  <si>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</si>
  <si>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</si>
  <si>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</si>
  <si>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</si>
  <si>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</si>
  <si>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</si>
  <si>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</si>
  <si>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</si>
  <si>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</si>
  <si>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</si>
  <si>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</si>
  <si>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</si>
  <si>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</si>
  <si>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</si>
  <si>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</si>
  <si>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</si>
  <si>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  50    労  働・賃  金  4</t>
  </si>
  <si>
    <t>4  労  働・賃  金    51</t>
  </si>
  <si>
    <t>（平成７年）（続）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</si>
  <si>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</si>
  <si>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</si>
  <si>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</si>
  <si>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</si>
  <si>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</si>
  <si>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</si>
  <si>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</si>
  <si>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</si>
  <si>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</si>
  <si>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</si>
  <si>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</si>
  <si>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</si>
  <si>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</si>
  <si>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</si>
  <si>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</si>
  <si>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</si>
  <si>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</si>
  <si>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</si>
  <si>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</si>
  <si>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</si>
  <si>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</si>
  <si>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</si>
  <si>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</si>
  <si>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</si>
  <si>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</si>
  <si>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</si>
  <si>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</si>
  <si>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</si>
  <si>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</si>
  <si>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</si>
  <si>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</si>
  <si>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</si>
  <si>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</si>
  <si>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</si>
  <si>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</si>
  <si>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</si>
  <si>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</si>
  <si>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</si>
  <si>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</si>
  <si>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</si>
  <si>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</si>
  <si>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</si>
  <si>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</si>
  <si>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</si>
  <si>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</si>
  <si>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</si>
  <si>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</si>
  <si>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</si>
  <si>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1)総数には、不詳を含む。  2)主に仕事、家事などのほか仕事、通学のかたわら仕事もしていた人、及び休業者。</t>
  </si>
  <si>
    <t xml:space="preserve">    3)仕事を探していた人。  4)もっぱら家事や通学をしていた人、幼児、老齢者などで不詳を含む。</t>
  </si>
  <si>
    <t xml:space="preserve">    資料  総務庁統計局「国勢調査報告」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</si>
</sst>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3" xfId="15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1" xfId="15" applyFont="1" applyBorder="1" applyAlignment="1">
      <alignment horizontal="center"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6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/>
    </xf>
    <xf numFmtId="181" fontId="5" fillId="0" borderId="7" xfId="15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1" fontId="5" fillId="0" borderId="0" xfId="15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5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37890625" style="2" customWidth="1"/>
    <col min="2" max="2" width="0.875" style="2" customWidth="1"/>
    <col min="3" max="3" width="19.75390625" style="2" customWidth="1"/>
    <col min="4" max="4" width="0.875" style="2" customWidth="1"/>
    <col min="5" max="6" width="13.00390625" style="2" customWidth="1"/>
    <col min="7" max="8" width="12.125" style="2" customWidth="1"/>
    <col min="9" max="13" width="12.375" style="2" customWidth="1"/>
    <col min="14" max="14" width="12.125" style="2" customWidth="1"/>
    <col min="15" max="15" width="4.75390625" style="2" customWidth="1"/>
    <col min="16" max="16" width="5.75390625" style="2" customWidth="1"/>
    <col min="17" max="25" width="14.75390625" style="2" customWidth="1"/>
    <col min="26" max="26" width="14.375" style="2" customWidth="1"/>
    <col min="27" max="28" width="4.00390625" style="2" customWidth="1"/>
    <col min="29" max="16384" width="8.625" style="2" customWidth="1"/>
  </cols>
  <sheetData>
    <row r="1" spans="1:26" ht="15" customHeight="1">
      <c r="A1" s="2" t="s">
        <v>0</v>
      </c>
      <c r="C1" s="2" t="s">
        <v>1</v>
      </c>
      <c r="G1" s="8"/>
      <c r="Q1" s="3"/>
      <c r="X1" s="4" t="s">
        <v>2</v>
      </c>
      <c r="Y1" s="4"/>
      <c r="Z1" s="18"/>
    </row>
    <row r="2" spans="3:23" ht="24">
      <c r="C2" s="1" t="s">
        <v>3</v>
      </c>
      <c r="Q2" s="1" t="s">
        <v>4</v>
      </c>
      <c r="V2" s="19"/>
      <c r="W2" s="2" t="s">
        <v>5</v>
      </c>
    </row>
    <row r="3" spans="2:27" ht="15" customHeight="1" thickBot="1">
      <c r="B3" s="5"/>
      <c r="C3" s="5" t="s">
        <v>6</v>
      </c>
      <c r="D3" s="5"/>
      <c r="E3" s="5"/>
      <c r="F3" s="5"/>
      <c r="G3" s="20"/>
      <c r="H3" s="5"/>
      <c r="I3" s="5"/>
      <c r="J3" s="5"/>
      <c r="K3" s="5"/>
      <c r="L3" s="5"/>
      <c r="M3" s="5"/>
      <c r="N3" s="5"/>
      <c r="Q3" s="5"/>
      <c r="R3" s="5"/>
      <c r="S3" s="5"/>
      <c r="T3" s="5"/>
      <c r="U3" s="5"/>
      <c r="V3" s="5"/>
      <c r="W3" s="5"/>
      <c r="X3" s="5"/>
      <c r="Y3" s="5"/>
      <c r="Z3" s="21" t="s">
        <v>7</v>
      </c>
      <c r="AA3" s="6"/>
    </row>
    <row r="4" spans="5:27" ht="18" customHeight="1">
      <c r="E4" s="33" t="s">
        <v>10</v>
      </c>
      <c r="F4" s="34"/>
      <c r="G4" s="22" t="s">
        <v>8</v>
      </c>
      <c r="H4" s="7"/>
      <c r="I4" s="7"/>
      <c r="J4" s="7"/>
      <c r="K4" s="7"/>
      <c r="L4" s="7"/>
      <c r="M4" s="7"/>
      <c r="N4" s="7"/>
      <c r="Q4" s="7" t="s">
        <v>9</v>
      </c>
      <c r="R4" s="7"/>
      <c r="S4" s="7"/>
      <c r="T4" s="7"/>
      <c r="U4" s="7"/>
      <c r="V4" s="7"/>
      <c r="W4" s="7"/>
      <c r="X4" s="7"/>
      <c r="Y4" s="33" t="s">
        <v>14</v>
      </c>
      <c r="Z4" s="37"/>
      <c r="AA4" s="6"/>
    </row>
    <row r="5" spans="3:27" ht="18" customHeight="1">
      <c r="C5" s="39" t="s">
        <v>15</v>
      </c>
      <c r="E5" s="35"/>
      <c r="F5" s="36"/>
      <c r="G5" s="23" t="s">
        <v>11</v>
      </c>
      <c r="H5" s="24"/>
      <c r="I5" s="25" t="s">
        <v>12</v>
      </c>
      <c r="J5" s="26"/>
      <c r="K5" s="26"/>
      <c r="L5" s="26"/>
      <c r="M5" s="26"/>
      <c r="N5" s="26"/>
      <c r="Q5" s="7" t="s">
        <v>13</v>
      </c>
      <c r="R5" s="7"/>
      <c r="S5" s="7"/>
      <c r="T5" s="7"/>
      <c r="U5" s="7"/>
      <c r="V5" s="7"/>
      <c r="W5" s="41" t="s">
        <v>22</v>
      </c>
      <c r="X5" s="42"/>
      <c r="Y5" s="35"/>
      <c r="Z5" s="38"/>
      <c r="AA5" s="6"/>
    </row>
    <row r="6" spans="3:27" ht="18" customHeight="1">
      <c r="C6" s="40"/>
      <c r="E6" s="45" t="s">
        <v>23</v>
      </c>
      <c r="F6" s="45" t="s">
        <v>24</v>
      </c>
      <c r="G6" s="45" t="s">
        <v>23</v>
      </c>
      <c r="H6" s="45" t="s">
        <v>24</v>
      </c>
      <c r="I6" s="23" t="s">
        <v>16</v>
      </c>
      <c r="J6" s="24"/>
      <c r="K6" s="23" t="s">
        <v>17</v>
      </c>
      <c r="L6" s="24"/>
      <c r="M6" s="23" t="s">
        <v>18</v>
      </c>
      <c r="N6" s="24"/>
      <c r="Q6" s="24" t="s">
        <v>19</v>
      </c>
      <c r="R6" s="24"/>
      <c r="S6" s="23" t="s">
        <v>20</v>
      </c>
      <c r="T6" s="24"/>
      <c r="U6" s="23" t="s">
        <v>21</v>
      </c>
      <c r="V6" s="24"/>
      <c r="W6" s="43"/>
      <c r="X6" s="44"/>
      <c r="Y6" s="45" t="s">
        <v>23</v>
      </c>
      <c r="Z6" s="41" t="s">
        <v>24</v>
      </c>
      <c r="AA6" s="6"/>
    </row>
    <row r="7" spans="2:26" ht="18" customHeight="1">
      <c r="B7" s="7"/>
      <c r="C7" s="7"/>
      <c r="D7" s="7"/>
      <c r="E7" s="46"/>
      <c r="F7" s="46"/>
      <c r="G7" s="46"/>
      <c r="H7" s="46"/>
      <c r="I7" s="27" t="s">
        <v>23</v>
      </c>
      <c r="J7" s="27" t="s">
        <v>24</v>
      </c>
      <c r="K7" s="27" t="s">
        <v>23</v>
      </c>
      <c r="L7" s="27" t="s">
        <v>24</v>
      </c>
      <c r="M7" s="27" t="s">
        <v>23</v>
      </c>
      <c r="N7" s="27" t="s">
        <v>24</v>
      </c>
      <c r="Q7" s="28" t="s">
        <v>23</v>
      </c>
      <c r="R7" s="27" t="s">
        <v>24</v>
      </c>
      <c r="S7" s="27" t="s">
        <v>23</v>
      </c>
      <c r="T7" s="27" t="s">
        <v>24</v>
      </c>
      <c r="U7" s="27" t="s">
        <v>23</v>
      </c>
      <c r="V7" s="27" t="s">
        <v>24</v>
      </c>
      <c r="W7" s="27" t="s">
        <v>23</v>
      </c>
      <c r="X7" s="27" t="s">
        <v>24</v>
      </c>
      <c r="Y7" s="46"/>
      <c r="Z7" s="47"/>
    </row>
    <row r="8" ht="15.75" customHeight="1">
      <c r="E8" s="12"/>
    </row>
    <row r="9" spans="3:26" ht="15.75" customHeight="1">
      <c r="C9" s="8" t="s">
        <v>25</v>
      </c>
      <c r="D9" s="29"/>
      <c r="E9" s="12">
        <v>1232001</v>
      </c>
      <c r="F9" s="2">
        <v>572093</v>
      </c>
      <c r="G9" s="2">
        <f>SUM(I9,W9)</f>
        <v>733093</v>
      </c>
      <c r="H9" s="2">
        <f>SUM(J9,X9)</f>
        <v>438576</v>
      </c>
      <c r="I9" s="2">
        <f>SUM(K9,M9,Q9,S9,U9)</f>
        <v>701157</v>
      </c>
      <c r="J9" s="2">
        <f>SUM(L9,N9,R9,T9,V9)</f>
        <v>416766</v>
      </c>
      <c r="K9" s="2">
        <v>77549</v>
      </c>
      <c r="L9" s="2">
        <v>38192</v>
      </c>
      <c r="M9" s="2">
        <v>159184</v>
      </c>
      <c r="N9" s="2">
        <v>101103</v>
      </c>
      <c r="Q9" s="2">
        <v>172146</v>
      </c>
      <c r="R9" s="2">
        <v>102806</v>
      </c>
      <c r="S9" s="2">
        <v>154086</v>
      </c>
      <c r="T9" s="2">
        <v>90443</v>
      </c>
      <c r="U9" s="2">
        <v>138192</v>
      </c>
      <c r="V9" s="2">
        <v>84222</v>
      </c>
      <c r="W9" s="2">
        <v>31936</v>
      </c>
      <c r="X9" s="2">
        <v>21810</v>
      </c>
      <c r="Y9" s="2">
        <v>497781</v>
      </c>
      <c r="Z9" s="2">
        <v>133115</v>
      </c>
    </row>
    <row r="10" spans="3:26" ht="15.75" customHeight="1">
      <c r="C10" s="8" t="s">
        <v>26</v>
      </c>
      <c r="D10" s="30"/>
      <c r="E10" s="2">
        <v>1245329</v>
      </c>
      <c r="F10" s="2">
        <v>573902</v>
      </c>
      <c r="G10" s="2">
        <f>SUM(I10,W10)</f>
        <v>732039</v>
      </c>
      <c r="H10" s="2">
        <f>SUM(J10,X10)</f>
        <v>426336</v>
      </c>
      <c r="I10" s="2">
        <f>SUM(K10,M10,Q10,S10,U10)</f>
        <v>706441</v>
      </c>
      <c r="J10" s="2">
        <f>SUM(L10,N10,R10,T10,V10)</f>
        <v>408792</v>
      </c>
      <c r="K10" s="2">
        <v>74095</v>
      </c>
      <c r="L10" s="2">
        <v>34803</v>
      </c>
      <c r="M10" s="2">
        <v>139889</v>
      </c>
      <c r="N10" s="2">
        <v>84071</v>
      </c>
      <c r="Q10" s="2">
        <v>192488</v>
      </c>
      <c r="R10" s="2">
        <v>113469</v>
      </c>
      <c r="S10" s="2">
        <v>148323</v>
      </c>
      <c r="T10" s="2">
        <v>83450</v>
      </c>
      <c r="U10" s="2">
        <v>151646</v>
      </c>
      <c r="V10" s="2">
        <v>92999</v>
      </c>
      <c r="W10" s="2">
        <v>25598</v>
      </c>
      <c r="X10" s="2">
        <v>17544</v>
      </c>
      <c r="Y10" s="2">
        <v>511974</v>
      </c>
      <c r="Z10" s="2">
        <v>146973</v>
      </c>
    </row>
    <row r="11" spans="3:26" ht="15.75" customHeight="1">
      <c r="C11" s="8"/>
      <c r="D11" s="8"/>
      <c r="E11" s="12"/>
      <c r="F11" s="6"/>
      <c r="G11" s="6"/>
      <c r="H11" s="6"/>
      <c r="I11" s="6"/>
      <c r="J11" s="6"/>
      <c r="K11" s="6"/>
      <c r="L11" s="6"/>
      <c r="M11" s="6"/>
      <c r="N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3:26" ht="15.75" customHeight="1">
      <c r="C12" s="29" t="s">
        <v>27</v>
      </c>
      <c r="E12" s="12">
        <f aca="true" t="shared" si="0" ref="E12:N12">SUM(E14:E16)</f>
        <v>1267118</v>
      </c>
      <c r="F12" s="6">
        <f t="shared" si="0"/>
        <v>584415</v>
      </c>
      <c r="G12" s="6">
        <f t="shared" si="0"/>
        <v>757787</v>
      </c>
      <c r="H12" s="6">
        <f t="shared" si="0"/>
        <v>436948</v>
      </c>
      <c r="I12" s="6">
        <f t="shared" si="0"/>
        <v>725810</v>
      </c>
      <c r="J12" s="6">
        <f t="shared" si="0"/>
        <v>416273</v>
      </c>
      <c r="K12" s="6">
        <f t="shared" si="0"/>
        <v>78395</v>
      </c>
      <c r="L12" s="6">
        <f t="shared" si="0"/>
        <v>39018</v>
      </c>
      <c r="M12" s="6">
        <f t="shared" si="0"/>
        <v>130869</v>
      </c>
      <c r="N12" s="6">
        <f t="shared" si="0"/>
        <v>76024</v>
      </c>
      <c r="Q12" s="6">
        <f aca="true" t="shared" si="1" ref="Q12:Z12">SUM(Q14:Q16)</f>
        <v>174581</v>
      </c>
      <c r="R12" s="6">
        <f t="shared" si="1"/>
        <v>101751</v>
      </c>
      <c r="S12" s="6">
        <f t="shared" si="1"/>
        <v>172176</v>
      </c>
      <c r="T12" s="6">
        <f t="shared" si="1"/>
        <v>96938</v>
      </c>
      <c r="U12" s="6">
        <f t="shared" si="1"/>
        <v>169789</v>
      </c>
      <c r="V12" s="6">
        <f t="shared" si="1"/>
        <v>102542</v>
      </c>
      <c r="W12" s="6">
        <f t="shared" si="1"/>
        <v>31977</v>
      </c>
      <c r="X12" s="6">
        <f t="shared" si="1"/>
        <v>20675</v>
      </c>
      <c r="Y12" s="6">
        <f t="shared" si="1"/>
        <v>507702</v>
      </c>
      <c r="Z12" s="6">
        <f t="shared" si="1"/>
        <v>146474</v>
      </c>
    </row>
    <row r="13" ht="15.75" customHeight="1">
      <c r="E13" s="12"/>
    </row>
    <row r="14" spans="3:26" ht="15.75" customHeight="1">
      <c r="C14" s="8" t="s">
        <v>28</v>
      </c>
      <c r="E14" s="12">
        <f>SUM(E19:E23,E25:E27)</f>
        <v>803499</v>
      </c>
      <c r="F14" s="6">
        <f>SUM(F19:F23,F25:F27)</f>
        <v>368738</v>
      </c>
      <c r="G14" s="6">
        <f aca="true" t="shared" si="2" ref="G14:N14">SUM(G19:G23,G25:G27)</f>
        <v>476852</v>
      </c>
      <c r="H14" s="6">
        <f t="shared" si="2"/>
        <v>274410</v>
      </c>
      <c r="I14" s="6">
        <f t="shared" si="2"/>
        <v>454583</v>
      </c>
      <c r="J14" s="6">
        <f t="shared" si="2"/>
        <v>260211</v>
      </c>
      <c r="K14" s="6">
        <f t="shared" si="2"/>
        <v>54791</v>
      </c>
      <c r="L14" s="6">
        <f t="shared" si="2"/>
        <v>26664</v>
      </c>
      <c r="M14" s="6">
        <f t="shared" si="2"/>
        <v>86650</v>
      </c>
      <c r="N14" s="6">
        <f t="shared" si="2"/>
        <v>50244</v>
      </c>
      <c r="Q14" s="6">
        <f aca="true" t="shared" si="3" ref="Q14:Z14">SUM(Q19:Q23,Q25:Q27)</f>
        <v>107350</v>
      </c>
      <c r="R14" s="6">
        <f t="shared" si="3"/>
        <v>63086</v>
      </c>
      <c r="S14" s="6">
        <f t="shared" si="3"/>
        <v>109329</v>
      </c>
      <c r="T14" s="6">
        <f t="shared" si="3"/>
        <v>61551</v>
      </c>
      <c r="U14" s="6">
        <f t="shared" si="3"/>
        <v>96463</v>
      </c>
      <c r="V14" s="6">
        <f t="shared" si="3"/>
        <v>58666</v>
      </c>
      <c r="W14" s="6">
        <f t="shared" si="3"/>
        <v>22269</v>
      </c>
      <c r="X14" s="6">
        <f t="shared" si="3"/>
        <v>14199</v>
      </c>
      <c r="Y14" s="6">
        <f t="shared" si="3"/>
        <v>325194</v>
      </c>
      <c r="Z14" s="6">
        <f t="shared" si="3"/>
        <v>93415</v>
      </c>
    </row>
    <row r="15" spans="3:5" ht="15.75" customHeight="1">
      <c r="C15" s="8"/>
      <c r="E15" s="12"/>
    </row>
    <row r="16" spans="3:26" ht="15.75" customHeight="1">
      <c r="C16" s="8" t="s">
        <v>29</v>
      </c>
      <c r="E16" s="12">
        <f>E30+E51+E58+E66+E100+E119+E134+E142</f>
        <v>463619</v>
      </c>
      <c r="F16" s="6">
        <f>F30+F51+F58+F66+F100+F119+F134+F142</f>
        <v>215677</v>
      </c>
      <c r="G16" s="6">
        <f>G30+G51+G58+G66+G100+G119+G134+G142</f>
        <v>280935</v>
      </c>
      <c r="H16" s="6">
        <f>H30+H51+H58+H66+H100+H119+H134+H142</f>
        <v>162538</v>
      </c>
      <c r="I16" s="6">
        <f>I30+I51+I58+I66+I100+I119+I134+I142</f>
        <v>271227</v>
      </c>
      <c r="J16" s="6">
        <f>J30+J51+J58+J66+J100+J119+J134+J142</f>
        <v>156062</v>
      </c>
      <c r="K16" s="6">
        <f>K30+K51+K58+K66+K100+K119+K134+K142</f>
        <v>23604</v>
      </c>
      <c r="L16" s="6">
        <f>L30+L51+L58+L66+L100+L119+L134+L142</f>
        <v>12354</v>
      </c>
      <c r="M16" s="6">
        <f>M30+M51+M58+M66+M100+M119+M134+M142</f>
        <v>44219</v>
      </c>
      <c r="N16" s="6">
        <f>N30+N51+N58+N66+N100+N119+N134+N142</f>
        <v>25780</v>
      </c>
      <c r="Q16" s="6">
        <f>Q30+Q51+Q58+Q66+Q100+Q119+Q134+Q142</f>
        <v>67231</v>
      </c>
      <c r="R16" s="6">
        <f>R30+R51+R58+R66+R100+R119+R134+R142</f>
        <v>38665</v>
      </c>
      <c r="S16" s="6">
        <f>S30+S51+S58+S66+S100+S119+S134+S142</f>
        <v>62847</v>
      </c>
      <c r="T16" s="6">
        <f>T30+T51+T58+T66+T100+T119+T134+T142</f>
        <v>35387</v>
      </c>
      <c r="U16" s="6">
        <f>U30+U51+U58+U66+U100+U119+U134+U142</f>
        <v>73326</v>
      </c>
      <c r="V16" s="6">
        <f>V30+V51+V58+V66+V100+V119+V134+V142</f>
        <v>43876</v>
      </c>
      <c r="W16" s="6">
        <f>W30+W51+W58+W66+W100+W119+W134+W142</f>
        <v>9708</v>
      </c>
      <c r="X16" s="6">
        <f>X30+X51+X58+X66+X100+X119+X134+X142</f>
        <v>6476</v>
      </c>
      <c r="Y16" s="6">
        <f>Y30+Y51+Y58+Y66+Y100+Y119+Y134+Y142</f>
        <v>182508</v>
      </c>
      <c r="Z16" s="6">
        <f>Z30+Z51+Z58+Z66+Z100+Z119+Z134+Z142</f>
        <v>53059</v>
      </c>
    </row>
    <row r="17" ht="15.75" customHeight="1">
      <c r="E17" s="12"/>
    </row>
    <row r="18" ht="15.75" customHeight="1">
      <c r="E18" s="12"/>
    </row>
    <row r="19" spans="3:26" ht="15.75" customHeight="1">
      <c r="C19" s="8" t="s">
        <v>30</v>
      </c>
      <c r="E19" s="12">
        <v>365532</v>
      </c>
      <c r="F19" s="2">
        <v>166430</v>
      </c>
      <c r="G19" s="2">
        <f>I19+W19</f>
        <v>211007</v>
      </c>
      <c r="H19" s="2">
        <f>J19+X19</f>
        <v>122091</v>
      </c>
      <c r="I19" s="2">
        <f>SUM(K19,M19,Q19,S19,U19)</f>
        <v>200398</v>
      </c>
      <c r="J19" s="2">
        <f>SUM(L19,N19,R19,T19,V19)</f>
        <v>115408</v>
      </c>
      <c r="K19" s="2">
        <v>25491</v>
      </c>
      <c r="L19" s="2">
        <v>11737</v>
      </c>
      <c r="M19" s="2">
        <v>39844</v>
      </c>
      <c r="N19" s="2">
        <v>22939</v>
      </c>
      <c r="Q19" s="2">
        <v>47628</v>
      </c>
      <c r="R19" s="2">
        <v>28533</v>
      </c>
      <c r="S19" s="2">
        <v>48335</v>
      </c>
      <c r="T19" s="2">
        <v>27790</v>
      </c>
      <c r="U19" s="2">
        <v>39100</v>
      </c>
      <c r="V19" s="2">
        <v>24409</v>
      </c>
      <c r="W19" s="2">
        <v>10609</v>
      </c>
      <c r="X19" s="2">
        <v>6683</v>
      </c>
      <c r="Y19" s="2">
        <v>153559</v>
      </c>
      <c r="Z19" s="2">
        <v>43715</v>
      </c>
    </row>
    <row r="20" spans="3:26" ht="15.75" customHeight="1">
      <c r="C20" s="8" t="s">
        <v>31</v>
      </c>
      <c r="E20" s="12">
        <v>202902</v>
      </c>
      <c r="F20" s="2">
        <v>93380</v>
      </c>
      <c r="G20" s="2">
        <f aca="true" t="shared" si="4" ref="G20:H27">I20+W20</f>
        <v>121837</v>
      </c>
      <c r="H20" s="2">
        <f t="shared" si="4"/>
        <v>69867</v>
      </c>
      <c r="I20" s="2">
        <f aca="true" t="shared" si="5" ref="I20:J27">SUM(K20,M20,Q20,S20,U20)</f>
        <v>115909</v>
      </c>
      <c r="J20" s="2">
        <f t="shared" si="5"/>
        <v>66053</v>
      </c>
      <c r="K20" s="2">
        <v>14660</v>
      </c>
      <c r="L20" s="2">
        <v>7304</v>
      </c>
      <c r="M20" s="2">
        <v>20791</v>
      </c>
      <c r="N20" s="2">
        <v>12219</v>
      </c>
      <c r="Q20" s="2">
        <v>26184</v>
      </c>
      <c r="R20" s="2">
        <v>15303</v>
      </c>
      <c r="S20" s="2">
        <v>28914</v>
      </c>
      <c r="T20" s="2">
        <v>16065</v>
      </c>
      <c r="U20" s="2">
        <v>25360</v>
      </c>
      <c r="V20" s="2">
        <v>15162</v>
      </c>
      <c r="W20" s="2">
        <v>5928</v>
      </c>
      <c r="X20" s="2">
        <v>3814</v>
      </c>
      <c r="Y20" s="2">
        <v>80703</v>
      </c>
      <c r="Z20" s="2">
        <v>23292</v>
      </c>
    </row>
    <row r="21" spans="3:26" ht="15.75" customHeight="1">
      <c r="C21" s="8" t="s">
        <v>32</v>
      </c>
      <c r="E21" s="12">
        <v>33717</v>
      </c>
      <c r="F21" s="2">
        <v>15245</v>
      </c>
      <c r="G21" s="2">
        <f t="shared" si="4"/>
        <v>20277</v>
      </c>
      <c r="H21" s="2">
        <f t="shared" si="4"/>
        <v>11038</v>
      </c>
      <c r="I21" s="2">
        <f t="shared" si="5"/>
        <v>19355</v>
      </c>
      <c r="J21" s="2">
        <f t="shared" si="5"/>
        <v>10462</v>
      </c>
      <c r="K21" s="2">
        <v>1619</v>
      </c>
      <c r="L21" s="2">
        <v>766</v>
      </c>
      <c r="M21" s="2">
        <v>3398</v>
      </c>
      <c r="N21" s="2">
        <v>1818</v>
      </c>
      <c r="Q21" s="2">
        <v>4704</v>
      </c>
      <c r="R21" s="2">
        <v>2526</v>
      </c>
      <c r="S21" s="2">
        <v>4785</v>
      </c>
      <c r="T21" s="2">
        <v>2552</v>
      </c>
      <c r="U21" s="2">
        <v>4849</v>
      </c>
      <c r="V21" s="2">
        <v>2800</v>
      </c>
      <c r="W21" s="2">
        <v>922</v>
      </c>
      <c r="X21" s="2">
        <v>576</v>
      </c>
      <c r="Y21" s="2">
        <v>13412</v>
      </c>
      <c r="Z21" s="2">
        <v>4193</v>
      </c>
    </row>
    <row r="22" spans="3:26" ht="15.75" customHeight="1">
      <c r="C22" s="8" t="s">
        <v>33</v>
      </c>
      <c r="E22" s="12">
        <v>75399</v>
      </c>
      <c r="F22" s="2">
        <v>35072</v>
      </c>
      <c r="G22" s="2">
        <f t="shared" si="4"/>
        <v>45431</v>
      </c>
      <c r="H22" s="2">
        <f t="shared" si="4"/>
        <v>26277</v>
      </c>
      <c r="I22" s="2">
        <f t="shared" si="5"/>
        <v>43606</v>
      </c>
      <c r="J22" s="2">
        <f t="shared" si="5"/>
        <v>25121</v>
      </c>
      <c r="K22" s="2">
        <v>5047</v>
      </c>
      <c r="L22" s="2">
        <v>2448</v>
      </c>
      <c r="M22" s="2">
        <v>8929</v>
      </c>
      <c r="N22" s="2">
        <v>5185</v>
      </c>
      <c r="Q22" s="2">
        <v>10527</v>
      </c>
      <c r="R22" s="2">
        <v>6216</v>
      </c>
      <c r="S22" s="2">
        <v>10286</v>
      </c>
      <c r="T22" s="2">
        <v>5784</v>
      </c>
      <c r="U22" s="2">
        <v>8817</v>
      </c>
      <c r="V22" s="2">
        <v>5488</v>
      </c>
      <c r="W22" s="2">
        <v>1825</v>
      </c>
      <c r="X22" s="2">
        <v>1156</v>
      </c>
      <c r="Y22" s="2">
        <v>29927</v>
      </c>
      <c r="Z22" s="2">
        <v>8769</v>
      </c>
    </row>
    <row r="23" spans="3:26" ht="15.75" customHeight="1">
      <c r="C23" s="8" t="s">
        <v>34</v>
      </c>
      <c r="E23" s="12">
        <v>63482</v>
      </c>
      <c r="F23" s="2">
        <v>29955</v>
      </c>
      <c r="G23" s="2">
        <f t="shared" si="4"/>
        <v>40220</v>
      </c>
      <c r="H23" s="2">
        <f t="shared" si="4"/>
        <v>23450</v>
      </c>
      <c r="I23" s="2">
        <f t="shared" si="5"/>
        <v>38622</v>
      </c>
      <c r="J23" s="2">
        <f t="shared" si="5"/>
        <v>22435</v>
      </c>
      <c r="K23" s="2">
        <v>5186</v>
      </c>
      <c r="L23" s="2">
        <v>2840</v>
      </c>
      <c r="M23" s="2">
        <v>7538</v>
      </c>
      <c r="N23" s="2">
        <v>4587</v>
      </c>
      <c r="Q23" s="2">
        <v>9218</v>
      </c>
      <c r="R23" s="2">
        <v>5356</v>
      </c>
      <c r="S23" s="2">
        <v>8812</v>
      </c>
      <c r="T23" s="2">
        <v>4891</v>
      </c>
      <c r="U23" s="2">
        <v>7868</v>
      </c>
      <c r="V23" s="2">
        <v>4761</v>
      </c>
      <c r="W23" s="2">
        <v>1598</v>
      </c>
      <c r="X23" s="2">
        <v>1015</v>
      </c>
      <c r="Y23" s="2">
        <v>23217</v>
      </c>
      <c r="Z23" s="2">
        <v>6481</v>
      </c>
    </row>
    <row r="24" ht="15.75" customHeight="1">
      <c r="E24" s="12"/>
    </row>
    <row r="25" spans="3:26" ht="15.75" customHeight="1">
      <c r="C25" s="8" t="s">
        <v>35</v>
      </c>
      <c r="E25" s="12">
        <v>23124</v>
      </c>
      <c r="F25" s="2">
        <v>10430</v>
      </c>
      <c r="G25" s="2">
        <f t="shared" si="4"/>
        <v>13237</v>
      </c>
      <c r="H25" s="2">
        <f t="shared" si="4"/>
        <v>7622</v>
      </c>
      <c r="I25" s="2">
        <f t="shared" si="5"/>
        <v>12734</v>
      </c>
      <c r="J25" s="2">
        <f t="shared" si="5"/>
        <v>7293</v>
      </c>
      <c r="K25" s="2">
        <v>933</v>
      </c>
      <c r="L25" s="2">
        <v>472</v>
      </c>
      <c r="M25" s="2">
        <v>2334</v>
      </c>
      <c r="N25" s="2">
        <v>1333</v>
      </c>
      <c r="Q25" s="2">
        <v>3336</v>
      </c>
      <c r="R25" s="2">
        <v>1909</v>
      </c>
      <c r="S25" s="2">
        <v>2809</v>
      </c>
      <c r="T25" s="2">
        <v>1595</v>
      </c>
      <c r="U25" s="2">
        <v>3322</v>
      </c>
      <c r="V25" s="2">
        <v>1984</v>
      </c>
      <c r="W25" s="2">
        <v>503</v>
      </c>
      <c r="X25" s="2">
        <v>329</v>
      </c>
      <c r="Y25" s="2">
        <v>9882</v>
      </c>
      <c r="Z25" s="2">
        <v>2805</v>
      </c>
    </row>
    <row r="26" spans="3:26" ht="15.75" customHeight="1">
      <c r="C26" s="8" t="s">
        <v>36</v>
      </c>
      <c r="E26" s="12">
        <v>20239</v>
      </c>
      <c r="F26" s="2">
        <v>9138</v>
      </c>
      <c r="G26" s="2">
        <f t="shared" si="4"/>
        <v>12487</v>
      </c>
      <c r="H26" s="2">
        <f t="shared" si="4"/>
        <v>6981</v>
      </c>
      <c r="I26" s="2">
        <f t="shared" si="5"/>
        <v>12107</v>
      </c>
      <c r="J26" s="2">
        <f t="shared" si="5"/>
        <v>6720</v>
      </c>
      <c r="K26" s="2">
        <v>774</v>
      </c>
      <c r="L26" s="2">
        <v>435</v>
      </c>
      <c r="M26" s="2">
        <v>1864</v>
      </c>
      <c r="N26" s="2">
        <v>1054</v>
      </c>
      <c r="Q26" s="2">
        <v>2800</v>
      </c>
      <c r="R26" s="2">
        <v>1523</v>
      </c>
      <c r="S26" s="2">
        <v>2726</v>
      </c>
      <c r="T26" s="2">
        <v>1427</v>
      </c>
      <c r="U26" s="2">
        <v>3943</v>
      </c>
      <c r="V26" s="2">
        <v>2281</v>
      </c>
      <c r="W26" s="2">
        <v>380</v>
      </c>
      <c r="X26" s="2">
        <v>261</v>
      </c>
      <c r="Y26" s="2">
        <v>7750</v>
      </c>
      <c r="Z26" s="2">
        <v>2157</v>
      </c>
    </row>
    <row r="27" spans="3:26" ht="15.75" customHeight="1">
      <c r="C27" s="8" t="s">
        <v>37</v>
      </c>
      <c r="E27" s="12">
        <v>19104</v>
      </c>
      <c r="F27" s="2">
        <v>9088</v>
      </c>
      <c r="G27" s="2">
        <f t="shared" si="4"/>
        <v>12356</v>
      </c>
      <c r="H27" s="2">
        <f t="shared" si="4"/>
        <v>7084</v>
      </c>
      <c r="I27" s="2">
        <f t="shared" si="5"/>
        <v>11852</v>
      </c>
      <c r="J27" s="2">
        <f t="shared" si="5"/>
        <v>6719</v>
      </c>
      <c r="K27" s="2">
        <v>1081</v>
      </c>
      <c r="L27" s="2">
        <v>662</v>
      </c>
      <c r="M27" s="2">
        <v>1952</v>
      </c>
      <c r="N27" s="2">
        <v>1109</v>
      </c>
      <c r="Q27" s="2">
        <v>2953</v>
      </c>
      <c r="R27" s="2">
        <v>1720</v>
      </c>
      <c r="S27" s="2">
        <v>2662</v>
      </c>
      <c r="T27" s="2">
        <v>1447</v>
      </c>
      <c r="U27" s="2">
        <v>3204</v>
      </c>
      <c r="V27" s="2">
        <v>1781</v>
      </c>
      <c r="W27" s="2">
        <v>504</v>
      </c>
      <c r="X27" s="2">
        <v>365</v>
      </c>
      <c r="Y27" s="2">
        <v>6744</v>
      </c>
      <c r="Z27" s="2">
        <v>2003</v>
      </c>
    </row>
    <row r="28" ht="15.75" customHeight="1">
      <c r="E28" s="12"/>
    </row>
    <row r="29" ht="15.75" customHeight="1">
      <c r="E29" s="12"/>
    </row>
    <row r="30" spans="3:26" ht="15.75" customHeight="1">
      <c r="C30" s="8" t="s">
        <v>38</v>
      </c>
      <c r="E30" s="12">
        <f>SUM(E32:E48)</f>
        <v>134066</v>
      </c>
      <c r="F30" s="6">
        <f>SUM(F32:F48)</f>
        <v>62829</v>
      </c>
      <c r="G30" s="6">
        <f aca="true" t="shared" si="6" ref="G30:N30">SUM(G32:G48)</f>
        <v>80131</v>
      </c>
      <c r="H30" s="6">
        <f t="shared" si="6"/>
        <v>46918</v>
      </c>
      <c r="I30" s="6">
        <f t="shared" si="6"/>
        <v>77267</v>
      </c>
      <c r="J30" s="6">
        <f t="shared" si="6"/>
        <v>45103</v>
      </c>
      <c r="K30" s="6">
        <f>SUM(K32:K48)</f>
        <v>8219</v>
      </c>
      <c r="L30" s="6">
        <f t="shared" si="6"/>
        <v>4046</v>
      </c>
      <c r="M30" s="6">
        <f t="shared" si="6"/>
        <v>13322</v>
      </c>
      <c r="N30" s="6">
        <f t="shared" si="6"/>
        <v>7863</v>
      </c>
      <c r="Q30" s="6">
        <f aca="true" t="shared" si="7" ref="Q30:Z30">SUM(Q32:Q48)</f>
        <v>19337</v>
      </c>
      <c r="R30" s="6">
        <f t="shared" si="7"/>
        <v>11493</v>
      </c>
      <c r="S30" s="6">
        <f t="shared" si="7"/>
        <v>19552</v>
      </c>
      <c r="T30" s="6">
        <f t="shared" si="7"/>
        <v>11396</v>
      </c>
      <c r="U30" s="6">
        <f t="shared" si="7"/>
        <v>16837</v>
      </c>
      <c r="V30" s="6">
        <f t="shared" si="7"/>
        <v>10305</v>
      </c>
      <c r="W30" s="6">
        <f t="shared" si="7"/>
        <v>2864</v>
      </c>
      <c r="X30" s="6">
        <f t="shared" si="7"/>
        <v>1815</v>
      </c>
      <c r="Y30" s="6">
        <f t="shared" si="7"/>
        <v>53864</v>
      </c>
      <c r="Z30" s="6">
        <f t="shared" si="7"/>
        <v>15865</v>
      </c>
    </row>
    <row r="31" ht="15.75" customHeight="1">
      <c r="E31" s="12"/>
    </row>
    <row r="32" spans="3:26" ht="15.75" customHeight="1">
      <c r="C32" s="31" t="s">
        <v>39</v>
      </c>
      <c r="E32" s="12">
        <v>3926</v>
      </c>
      <c r="F32" s="2">
        <v>1720</v>
      </c>
      <c r="G32" s="2">
        <f aca="true" t="shared" si="8" ref="G32:H47">I32+W32</f>
        <v>2194</v>
      </c>
      <c r="H32" s="2">
        <f t="shared" si="8"/>
        <v>1209</v>
      </c>
      <c r="I32" s="2">
        <f aca="true" t="shared" si="9" ref="I32:J47">SUM(K32,M32,Q32,S32,U32)</f>
        <v>2053</v>
      </c>
      <c r="J32" s="2">
        <f t="shared" si="9"/>
        <v>1118</v>
      </c>
      <c r="K32" s="2">
        <v>297</v>
      </c>
      <c r="L32" s="2">
        <v>148</v>
      </c>
      <c r="M32" s="2">
        <v>270</v>
      </c>
      <c r="N32" s="2">
        <v>142</v>
      </c>
      <c r="Q32" s="2">
        <v>536</v>
      </c>
      <c r="R32" s="2">
        <v>282</v>
      </c>
      <c r="S32" s="2">
        <v>629</v>
      </c>
      <c r="T32" s="2">
        <v>348</v>
      </c>
      <c r="U32" s="2">
        <v>321</v>
      </c>
      <c r="V32" s="2">
        <v>198</v>
      </c>
      <c r="W32" s="2">
        <v>141</v>
      </c>
      <c r="X32" s="2">
        <v>91</v>
      </c>
      <c r="Y32" s="2">
        <v>1732</v>
      </c>
      <c r="Z32" s="2">
        <v>511</v>
      </c>
    </row>
    <row r="33" spans="3:26" ht="15.75" customHeight="1">
      <c r="C33" s="31" t="s">
        <v>40</v>
      </c>
      <c r="E33" s="12">
        <v>1056</v>
      </c>
      <c r="F33" s="2">
        <v>459</v>
      </c>
      <c r="G33" s="2">
        <f t="shared" si="8"/>
        <v>537</v>
      </c>
      <c r="H33" s="2">
        <f t="shared" si="8"/>
        <v>290</v>
      </c>
      <c r="I33" s="2">
        <f t="shared" si="9"/>
        <v>483</v>
      </c>
      <c r="J33" s="2">
        <f t="shared" si="9"/>
        <v>251</v>
      </c>
      <c r="K33" s="2">
        <v>83</v>
      </c>
      <c r="L33" s="2">
        <v>49</v>
      </c>
      <c r="M33" s="2">
        <v>78</v>
      </c>
      <c r="N33" s="2">
        <v>42</v>
      </c>
      <c r="Q33" s="2">
        <v>75</v>
      </c>
      <c r="R33" s="2">
        <v>36</v>
      </c>
      <c r="S33" s="2">
        <v>115</v>
      </c>
      <c r="T33" s="2">
        <v>57</v>
      </c>
      <c r="U33" s="2">
        <v>132</v>
      </c>
      <c r="V33" s="2">
        <v>67</v>
      </c>
      <c r="W33" s="2">
        <v>54</v>
      </c>
      <c r="X33" s="2">
        <v>39</v>
      </c>
      <c r="Y33" s="2">
        <v>519</v>
      </c>
      <c r="Z33" s="2">
        <v>169</v>
      </c>
    </row>
    <row r="34" spans="3:26" ht="15.75" customHeight="1">
      <c r="C34" s="17" t="s">
        <v>41</v>
      </c>
      <c r="E34" s="12">
        <v>925</v>
      </c>
      <c r="F34" s="2">
        <v>415</v>
      </c>
      <c r="G34" s="2">
        <f t="shared" si="8"/>
        <v>393</v>
      </c>
      <c r="H34" s="2">
        <f t="shared" si="8"/>
        <v>241</v>
      </c>
      <c r="I34" s="2">
        <f t="shared" si="9"/>
        <v>350</v>
      </c>
      <c r="J34" s="2">
        <f t="shared" si="9"/>
        <v>208</v>
      </c>
      <c r="K34" s="2">
        <v>21</v>
      </c>
      <c r="L34" s="2">
        <v>10</v>
      </c>
      <c r="M34" s="2">
        <v>45</v>
      </c>
      <c r="N34" s="2">
        <v>33</v>
      </c>
      <c r="Q34" s="2">
        <v>50</v>
      </c>
      <c r="R34" s="2">
        <v>30</v>
      </c>
      <c r="S34" s="2">
        <v>108</v>
      </c>
      <c r="T34" s="2">
        <v>52</v>
      </c>
      <c r="U34" s="2">
        <v>126</v>
      </c>
      <c r="V34" s="2">
        <v>83</v>
      </c>
      <c r="W34" s="2">
        <v>43</v>
      </c>
      <c r="X34" s="2">
        <v>33</v>
      </c>
      <c r="Y34" s="2">
        <v>532</v>
      </c>
      <c r="Z34" s="2">
        <v>174</v>
      </c>
    </row>
    <row r="35" spans="3:26" ht="15.75" customHeight="1">
      <c r="C35" s="17" t="s">
        <v>42</v>
      </c>
      <c r="E35" s="12">
        <v>7428</v>
      </c>
      <c r="F35" s="2">
        <v>3469</v>
      </c>
      <c r="G35" s="2">
        <f t="shared" si="8"/>
        <v>3782</v>
      </c>
      <c r="H35" s="2">
        <f t="shared" si="8"/>
        <v>2170</v>
      </c>
      <c r="I35" s="2">
        <f t="shared" si="9"/>
        <v>3613</v>
      </c>
      <c r="J35" s="2">
        <f t="shared" si="9"/>
        <v>2060</v>
      </c>
      <c r="K35" s="2">
        <v>312</v>
      </c>
      <c r="L35" s="2">
        <v>174</v>
      </c>
      <c r="M35" s="2">
        <v>519</v>
      </c>
      <c r="N35" s="2">
        <v>281</v>
      </c>
      <c r="Q35" s="2">
        <v>895</v>
      </c>
      <c r="R35" s="2">
        <v>517</v>
      </c>
      <c r="S35" s="2">
        <v>846</v>
      </c>
      <c r="T35" s="2">
        <v>486</v>
      </c>
      <c r="U35" s="2">
        <v>1041</v>
      </c>
      <c r="V35" s="2">
        <v>602</v>
      </c>
      <c r="W35" s="2">
        <v>169</v>
      </c>
      <c r="X35" s="2">
        <v>110</v>
      </c>
      <c r="Y35" s="2">
        <v>3644</v>
      </c>
      <c r="Z35" s="2">
        <v>1299</v>
      </c>
    </row>
    <row r="36" spans="3:26" ht="15.75" customHeight="1">
      <c r="C36" s="17" t="s">
        <v>43</v>
      </c>
      <c r="E36" s="12">
        <v>10629</v>
      </c>
      <c r="F36" s="2">
        <v>4965</v>
      </c>
      <c r="G36" s="2">
        <f t="shared" si="8"/>
        <v>5945</v>
      </c>
      <c r="H36" s="2">
        <f t="shared" si="8"/>
        <v>3447</v>
      </c>
      <c r="I36" s="2">
        <f t="shared" si="9"/>
        <v>5680</v>
      </c>
      <c r="J36" s="2">
        <f t="shared" si="9"/>
        <v>3273</v>
      </c>
      <c r="K36" s="2">
        <v>622</v>
      </c>
      <c r="L36" s="2">
        <v>267</v>
      </c>
      <c r="M36" s="2">
        <v>826</v>
      </c>
      <c r="N36" s="2">
        <v>443</v>
      </c>
      <c r="Q36" s="2">
        <v>1639</v>
      </c>
      <c r="R36" s="2">
        <v>970</v>
      </c>
      <c r="S36" s="2">
        <v>1580</v>
      </c>
      <c r="T36" s="2">
        <v>977</v>
      </c>
      <c r="U36" s="2">
        <v>1013</v>
      </c>
      <c r="V36" s="2">
        <v>616</v>
      </c>
      <c r="W36" s="2">
        <v>265</v>
      </c>
      <c r="X36" s="2">
        <v>174</v>
      </c>
      <c r="Y36" s="2">
        <v>4683</v>
      </c>
      <c r="Z36" s="2">
        <v>1518</v>
      </c>
    </row>
    <row r="37" spans="3:5" ht="15.75" customHeight="1">
      <c r="C37" s="3"/>
      <c r="E37" s="12"/>
    </row>
    <row r="38" spans="3:26" ht="15.75" customHeight="1">
      <c r="C38" s="17" t="s">
        <v>44</v>
      </c>
      <c r="E38" s="12">
        <v>13783</v>
      </c>
      <c r="F38" s="2">
        <v>6326</v>
      </c>
      <c r="G38" s="2">
        <f t="shared" si="8"/>
        <v>8540</v>
      </c>
      <c r="H38" s="2">
        <f t="shared" si="8"/>
        <v>4905</v>
      </c>
      <c r="I38" s="2">
        <f t="shared" si="9"/>
        <v>8282</v>
      </c>
      <c r="J38" s="2">
        <f t="shared" si="9"/>
        <v>4749</v>
      </c>
      <c r="K38" s="2">
        <v>865</v>
      </c>
      <c r="L38" s="2">
        <v>367</v>
      </c>
      <c r="M38" s="2">
        <v>1374</v>
      </c>
      <c r="N38" s="2">
        <v>811</v>
      </c>
      <c r="Q38" s="2">
        <v>2193</v>
      </c>
      <c r="R38" s="2">
        <v>1272</v>
      </c>
      <c r="S38" s="2">
        <v>2270</v>
      </c>
      <c r="T38" s="2">
        <v>1325</v>
      </c>
      <c r="U38" s="2">
        <v>1580</v>
      </c>
      <c r="V38" s="2">
        <v>974</v>
      </c>
      <c r="W38" s="2">
        <v>258</v>
      </c>
      <c r="X38" s="2">
        <v>156</v>
      </c>
      <c r="Y38" s="2">
        <v>5229</v>
      </c>
      <c r="Z38" s="2">
        <v>1411</v>
      </c>
    </row>
    <row r="39" spans="3:26" ht="15.75" customHeight="1">
      <c r="C39" s="17" t="s">
        <v>45</v>
      </c>
      <c r="E39" s="12">
        <v>28250</v>
      </c>
      <c r="F39" s="2">
        <v>13154</v>
      </c>
      <c r="G39" s="2">
        <f t="shared" si="8"/>
        <v>16988</v>
      </c>
      <c r="H39" s="2">
        <f t="shared" si="8"/>
        <v>10202</v>
      </c>
      <c r="I39" s="2">
        <f t="shared" si="9"/>
        <v>16386</v>
      </c>
      <c r="J39" s="2">
        <f t="shared" si="9"/>
        <v>9820</v>
      </c>
      <c r="K39" s="2">
        <v>1789</v>
      </c>
      <c r="L39" s="2">
        <v>779</v>
      </c>
      <c r="M39" s="2">
        <v>3310</v>
      </c>
      <c r="N39" s="2">
        <v>1996</v>
      </c>
      <c r="Q39" s="2">
        <v>4227</v>
      </c>
      <c r="R39" s="2">
        <v>2627</v>
      </c>
      <c r="S39" s="2">
        <v>4257</v>
      </c>
      <c r="T39" s="2">
        <v>2562</v>
      </c>
      <c r="U39" s="2">
        <v>2803</v>
      </c>
      <c r="V39" s="2">
        <v>1856</v>
      </c>
      <c r="W39" s="2">
        <v>602</v>
      </c>
      <c r="X39" s="2">
        <v>382</v>
      </c>
      <c r="Y39" s="2">
        <v>11251</v>
      </c>
      <c r="Z39" s="2">
        <v>2943</v>
      </c>
    </row>
    <row r="40" spans="3:26" ht="15.75" customHeight="1">
      <c r="C40" s="17" t="s">
        <v>46</v>
      </c>
      <c r="E40" s="12">
        <v>21578</v>
      </c>
      <c r="F40" s="2">
        <v>10413</v>
      </c>
      <c r="G40" s="2">
        <f t="shared" si="8"/>
        <v>13520</v>
      </c>
      <c r="H40" s="2">
        <f t="shared" si="8"/>
        <v>7889</v>
      </c>
      <c r="I40" s="2">
        <f t="shared" si="9"/>
        <v>12998</v>
      </c>
      <c r="J40" s="2">
        <f t="shared" si="9"/>
        <v>7585</v>
      </c>
      <c r="K40" s="2">
        <v>1727</v>
      </c>
      <c r="L40" s="2">
        <v>828</v>
      </c>
      <c r="M40" s="2">
        <v>2701</v>
      </c>
      <c r="N40" s="2">
        <v>1632</v>
      </c>
      <c r="Q40" s="2">
        <v>3203</v>
      </c>
      <c r="R40" s="2">
        <v>1892</v>
      </c>
      <c r="S40" s="2">
        <v>3295</v>
      </c>
      <c r="T40" s="2">
        <v>1918</v>
      </c>
      <c r="U40" s="2">
        <v>2072</v>
      </c>
      <c r="V40" s="2">
        <v>1315</v>
      </c>
      <c r="W40" s="2">
        <v>522</v>
      </c>
      <c r="X40" s="2">
        <v>304</v>
      </c>
      <c r="Y40" s="2">
        <v>8037</v>
      </c>
      <c r="Z40" s="2">
        <v>2509</v>
      </c>
    </row>
    <row r="41" spans="3:26" ht="15.75" customHeight="1">
      <c r="C41" s="17" t="s">
        <v>47</v>
      </c>
      <c r="E41" s="12">
        <v>9658</v>
      </c>
      <c r="F41" s="2">
        <v>4520</v>
      </c>
      <c r="G41" s="2">
        <f t="shared" si="8"/>
        <v>6174</v>
      </c>
      <c r="H41" s="2">
        <f t="shared" si="8"/>
        <v>3484</v>
      </c>
      <c r="I41" s="2">
        <f t="shared" si="9"/>
        <v>5974</v>
      </c>
      <c r="J41" s="2">
        <f t="shared" si="9"/>
        <v>3368</v>
      </c>
      <c r="K41" s="2">
        <v>678</v>
      </c>
      <c r="L41" s="2">
        <v>344</v>
      </c>
      <c r="M41" s="2">
        <v>940</v>
      </c>
      <c r="N41" s="2">
        <v>519</v>
      </c>
      <c r="Q41" s="2">
        <v>1392</v>
      </c>
      <c r="R41" s="2">
        <v>796</v>
      </c>
      <c r="S41" s="2">
        <v>1512</v>
      </c>
      <c r="T41" s="2">
        <v>855</v>
      </c>
      <c r="U41" s="2">
        <v>1452</v>
      </c>
      <c r="V41" s="2">
        <v>854</v>
      </c>
      <c r="W41" s="2">
        <v>200</v>
      </c>
      <c r="X41" s="2">
        <v>116</v>
      </c>
      <c r="Y41" s="2">
        <v>3480</v>
      </c>
      <c r="Z41" s="2">
        <v>1034</v>
      </c>
    </row>
    <row r="42" spans="3:26" ht="15.75" customHeight="1">
      <c r="C42" s="17" t="s">
        <v>48</v>
      </c>
      <c r="E42" s="12">
        <v>8173</v>
      </c>
      <c r="F42" s="2">
        <v>3873</v>
      </c>
      <c r="G42" s="2">
        <f t="shared" si="8"/>
        <v>5164</v>
      </c>
      <c r="H42" s="2">
        <f t="shared" si="8"/>
        <v>2860</v>
      </c>
      <c r="I42" s="2">
        <f t="shared" si="9"/>
        <v>5037</v>
      </c>
      <c r="J42" s="2">
        <f t="shared" si="9"/>
        <v>2775</v>
      </c>
      <c r="K42" s="2">
        <v>511</v>
      </c>
      <c r="L42" s="2">
        <v>280</v>
      </c>
      <c r="M42" s="2">
        <v>817</v>
      </c>
      <c r="N42" s="2">
        <v>461</v>
      </c>
      <c r="Q42" s="2">
        <v>1120</v>
      </c>
      <c r="R42" s="2">
        <v>628</v>
      </c>
      <c r="S42" s="2">
        <v>1066</v>
      </c>
      <c r="T42" s="2">
        <v>544</v>
      </c>
      <c r="U42" s="2">
        <v>1523</v>
      </c>
      <c r="V42" s="2">
        <v>862</v>
      </c>
      <c r="W42" s="2">
        <v>127</v>
      </c>
      <c r="X42" s="2">
        <v>85</v>
      </c>
      <c r="Y42" s="2">
        <v>3007</v>
      </c>
      <c r="Z42" s="2">
        <v>1012</v>
      </c>
    </row>
    <row r="43" ht="15.75" customHeight="1">
      <c r="E43" s="12"/>
    </row>
    <row r="44" spans="3:26" ht="15.75" customHeight="1">
      <c r="C44" s="17" t="s">
        <v>49</v>
      </c>
      <c r="E44" s="12">
        <v>7491</v>
      </c>
      <c r="F44" s="2">
        <v>3430</v>
      </c>
      <c r="G44" s="2">
        <f t="shared" si="8"/>
        <v>4905</v>
      </c>
      <c r="H44" s="2">
        <f t="shared" si="8"/>
        <v>2679</v>
      </c>
      <c r="I44" s="2">
        <f t="shared" si="9"/>
        <v>4805</v>
      </c>
      <c r="J44" s="2">
        <f t="shared" si="9"/>
        <v>2619</v>
      </c>
      <c r="K44" s="2">
        <v>370</v>
      </c>
      <c r="L44" s="2">
        <v>187</v>
      </c>
      <c r="M44" s="2">
        <v>722</v>
      </c>
      <c r="N44" s="2">
        <v>401</v>
      </c>
      <c r="Q44" s="2">
        <v>1115</v>
      </c>
      <c r="R44" s="2">
        <v>614</v>
      </c>
      <c r="S44" s="2">
        <v>957</v>
      </c>
      <c r="T44" s="2">
        <v>498</v>
      </c>
      <c r="U44" s="2">
        <v>1641</v>
      </c>
      <c r="V44" s="2">
        <v>919</v>
      </c>
      <c r="W44" s="2">
        <v>100</v>
      </c>
      <c r="X44" s="2">
        <v>60</v>
      </c>
      <c r="Y44" s="2">
        <v>2586</v>
      </c>
      <c r="Z44" s="2">
        <v>751</v>
      </c>
    </row>
    <row r="45" spans="3:26" ht="15.75" customHeight="1">
      <c r="C45" s="17" t="s">
        <v>50</v>
      </c>
      <c r="E45" s="12">
        <v>5111</v>
      </c>
      <c r="F45" s="2">
        <v>2503</v>
      </c>
      <c r="G45" s="2">
        <f t="shared" si="8"/>
        <v>2948</v>
      </c>
      <c r="H45" s="2">
        <f t="shared" si="8"/>
        <v>1850</v>
      </c>
      <c r="I45" s="2">
        <f t="shared" si="9"/>
        <v>2862</v>
      </c>
      <c r="J45" s="2">
        <f t="shared" si="9"/>
        <v>1782</v>
      </c>
      <c r="K45" s="2">
        <v>283</v>
      </c>
      <c r="L45" s="2">
        <v>207</v>
      </c>
      <c r="M45" s="2">
        <v>391</v>
      </c>
      <c r="N45" s="2">
        <v>248</v>
      </c>
      <c r="Q45" s="2">
        <v>688</v>
      </c>
      <c r="R45" s="2">
        <v>424</v>
      </c>
      <c r="S45" s="2">
        <v>776</v>
      </c>
      <c r="T45" s="2">
        <v>458</v>
      </c>
      <c r="U45" s="2">
        <v>724</v>
      </c>
      <c r="V45" s="2">
        <v>445</v>
      </c>
      <c r="W45" s="2">
        <v>86</v>
      </c>
      <c r="X45" s="2">
        <v>68</v>
      </c>
      <c r="Y45" s="2">
        <v>2161</v>
      </c>
      <c r="Z45" s="2">
        <v>652</v>
      </c>
    </row>
    <row r="46" spans="3:26" ht="15.75" customHeight="1">
      <c r="C46" s="17" t="s">
        <v>51</v>
      </c>
      <c r="E46" s="12">
        <v>2256</v>
      </c>
      <c r="F46" s="2">
        <v>975</v>
      </c>
      <c r="G46" s="2">
        <f t="shared" si="8"/>
        <v>1051</v>
      </c>
      <c r="H46" s="2">
        <f t="shared" si="8"/>
        <v>647</v>
      </c>
      <c r="I46" s="2">
        <f t="shared" si="9"/>
        <v>1029</v>
      </c>
      <c r="J46" s="2">
        <f t="shared" si="9"/>
        <v>632</v>
      </c>
      <c r="K46" s="2">
        <v>61</v>
      </c>
      <c r="L46" s="2">
        <v>35</v>
      </c>
      <c r="M46" s="2">
        <v>128</v>
      </c>
      <c r="N46" s="2">
        <v>84</v>
      </c>
      <c r="Q46" s="2">
        <v>206</v>
      </c>
      <c r="R46" s="2">
        <v>128</v>
      </c>
      <c r="S46" s="2">
        <v>264</v>
      </c>
      <c r="T46" s="2">
        <v>155</v>
      </c>
      <c r="U46" s="2">
        <v>370</v>
      </c>
      <c r="V46" s="2">
        <v>230</v>
      </c>
      <c r="W46" s="2">
        <v>22</v>
      </c>
      <c r="X46" s="2">
        <v>15</v>
      </c>
      <c r="Y46" s="2">
        <v>1205</v>
      </c>
      <c r="Z46" s="2">
        <v>328</v>
      </c>
    </row>
    <row r="47" spans="3:26" ht="15.75" customHeight="1">
      <c r="C47" s="17" t="s">
        <v>52</v>
      </c>
      <c r="E47" s="12">
        <v>6960</v>
      </c>
      <c r="F47" s="2">
        <v>3282</v>
      </c>
      <c r="G47" s="2">
        <f t="shared" si="8"/>
        <v>4065</v>
      </c>
      <c r="H47" s="2">
        <f t="shared" si="8"/>
        <v>2455</v>
      </c>
      <c r="I47" s="2">
        <f t="shared" si="9"/>
        <v>3966</v>
      </c>
      <c r="J47" s="2">
        <f t="shared" si="9"/>
        <v>2397</v>
      </c>
      <c r="K47" s="2">
        <v>318</v>
      </c>
      <c r="L47" s="2">
        <v>201</v>
      </c>
      <c r="M47" s="2">
        <v>654</v>
      </c>
      <c r="N47" s="2">
        <v>407</v>
      </c>
      <c r="Q47" s="2">
        <v>995</v>
      </c>
      <c r="R47" s="2">
        <v>599</v>
      </c>
      <c r="S47" s="2">
        <v>840</v>
      </c>
      <c r="T47" s="2">
        <v>483</v>
      </c>
      <c r="U47" s="2">
        <v>1159</v>
      </c>
      <c r="V47" s="2">
        <v>707</v>
      </c>
      <c r="W47" s="2">
        <v>99</v>
      </c>
      <c r="X47" s="2">
        <v>58</v>
      </c>
      <c r="Y47" s="2">
        <v>2887</v>
      </c>
      <c r="Z47" s="2">
        <v>824</v>
      </c>
    </row>
    <row r="48" spans="3:26" ht="15.75" customHeight="1">
      <c r="C48" s="17" t="s">
        <v>53</v>
      </c>
      <c r="E48" s="12">
        <v>6842</v>
      </c>
      <c r="F48" s="2">
        <v>3325</v>
      </c>
      <c r="G48" s="2">
        <f>I48+W48</f>
        <v>3925</v>
      </c>
      <c r="H48" s="2">
        <f>J48+X48</f>
        <v>2590</v>
      </c>
      <c r="I48" s="2">
        <f>SUM(K48,M48,Q48,S48,U48)</f>
        <v>3749</v>
      </c>
      <c r="J48" s="2">
        <f>SUM(L48,N48,R48,T48,V48)</f>
        <v>2466</v>
      </c>
      <c r="K48" s="2">
        <v>282</v>
      </c>
      <c r="L48" s="2">
        <v>170</v>
      </c>
      <c r="M48" s="2">
        <v>547</v>
      </c>
      <c r="N48" s="2">
        <v>363</v>
      </c>
      <c r="Q48" s="2">
        <v>1003</v>
      </c>
      <c r="R48" s="2">
        <v>678</v>
      </c>
      <c r="S48" s="2">
        <v>1037</v>
      </c>
      <c r="T48" s="2">
        <v>678</v>
      </c>
      <c r="U48" s="2">
        <v>880</v>
      </c>
      <c r="V48" s="2">
        <v>577</v>
      </c>
      <c r="W48" s="2">
        <v>176</v>
      </c>
      <c r="X48" s="2">
        <v>124</v>
      </c>
      <c r="Y48" s="2">
        <v>2911</v>
      </c>
      <c r="Z48" s="2">
        <v>730</v>
      </c>
    </row>
    <row r="49" ht="15.75" customHeight="1">
      <c r="E49" s="12"/>
    </row>
    <row r="50" ht="15.75" customHeight="1">
      <c r="E50" s="12"/>
    </row>
    <row r="51" spans="3:26" ht="15.75" customHeight="1">
      <c r="C51" s="8" t="s">
        <v>54</v>
      </c>
      <c r="E51" s="12">
        <f>SUM(E53:E55)</f>
        <v>33041</v>
      </c>
      <c r="F51" s="6">
        <f>SUM(F53:F55)</f>
        <v>15294</v>
      </c>
      <c r="G51" s="6">
        <f aca="true" t="shared" si="10" ref="G51:N51">SUM(G53:G55)</f>
        <v>21773</v>
      </c>
      <c r="H51" s="6">
        <f t="shared" si="10"/>
        <v>11810</v>
      </c>
      <c r="I51" s="6">
        <f t="shared" si="10"/>
        <v>21159</v>
      </c>
      <c r="J51" s="6">
        <f t="shared" si="10"/>
        <v>11397</v>
      </c>
      <c r="K51" s="6">
        <f t="shared" si="10"/>
        <v>1992</v>
      </c>
      <c r="L51" s="6">
        <f t="shared" si="10"/>
        <v>959</v>
      </c>
      <c r="M51" s="6">
        <f t="shared" si="10"/>
        <v>3518</v>
      </c>
      <c r="N51" s="6">
        <f t="shared" si="10"/>
        <v>1928</v>
      </c>
      <c r="Q51" s="6">
        <f aca="true" t="shared" si="11" ref="Q51:Z51">SUM(Q53:Q55)</f>
        <v>5187</v>
      </c>
      <c r="R51" s="6">
        <f t="shared" si="11"/>
        <v>2797</v>
      </c>
      <c r="S51" s="6">
        <f t="shared" si="11"/>
        <v>4944</v>
      </c>
      <c r="T51" s="6">
        <f t="shared" si="11"/>
        <v>2576</v>
      </c>
      <c r="U51" s="6">
        <f t="shared" si="11"/>
        <v>5518</v>
      </c>
      <c r="V51" s="6">
        <f t="shared" si="11"/>
        <v>3137</v>
      </c>
      <c r="W51" s="6">
        <f t="shared" si="11"/>
        <v>614</v>
      </c>
      <c r="X51" s="6">
        <f t="shared" si="11"/>
        <v>413</v>
      </c>
      <c r="Y51" s="6">
        <f t="shared" si="11"/>
        <v>11248</v>
      </c>
      <c r="Z51" s="6">
        <f t="shared" si="11"/>
        <v>3476</v>
      </c>
    </row>
    <row r="52" ht="15.75" customHeight="1">
      <c r="E52" s="12"/>
    </row>
    <row r="53" spans="3:26" ht="15.75" customHeight="1">
      <c r="C53" s="16" t="s">
        <v>55</v>
      </c>
      <c r="E53" s="12">
        <v>8392</v>
      </c>
      <c r="F53" s="2">
        <v>3860</v>
      </c>
      <c r="G53" s="2">
        <f aca="true" t="shared" si="12" ref="G53:H55">I53+W53</f>
        <v>5332</v>
      </c>
      <c r="H53" s="2">
        <f t="shared" si="12"/>
        <v>2954</v>
      </c>
      <c r="I53" s="2">
        <f aca="true" t="shared" si="13" ref="I53:J55">SUM(K53,M53,Q53,S53,U53)</f>
        <v>5193</v>
      </c>
      <c r="J53" s="2">
        <f t="shared" si="13"/>
        <v>2858</v>
      </c>
      <c r="K53" s="2">
        <v>453</v>
      </c>
      <c r="L53" s="2">
        <v>228</v>
      </c>
      <c r="M53" s="2">
        <v>799</v>
      </c>
      <c r="N53" s="2">
        <v>434</v>
      </c>
      <c r="Q53" s="2">
        <v>1302</v>
      </c>
      <c r="R53" s="2">
        <v>715</v>
      </c>
      <c r="S53" s="2">
        <v>1138</v>
      </c>
      <c r="T53" s="2">
        <v>605</v>
      </c>
      <c r="U53" s="2">
        <v>1501</v>
      </c>
      <c r="V53" s="2">
        <v>876</v>
      </c>
      <c r="W53" s="2">
        <v>139</v>
      </c>
      <c r="X53" s="2">
        <v>96</v>
      </c>
      <c r="Y53" s="2">
        <v>3059</v>
      </c>
      <c r="Z53" s="2">
        <v>906</v>
      </c>
    </row>
    <row r="54" spans="3:26" ht="15.75" customHeight="1">
      <c r="C54" s="16" t="s">
        <v>56</v>
      </c>
      <c r="E54" s="12">
        <v>12214</v>
      </c>
      <c r="F54" s="2">
        <v>5659</v>
      </c>
      <c r="G54" s="2">
        <f t="shared" si="12"/>
        <v>7792</v>
      </c>
      <c r="H54" s="2">
        <f t="shared" si="12"/>
        <v>4296</v>
      </c>
      <c r="I54" s="2">
        <f t="shared" si="13"/>
        <v>7520</v>
      </c>
      <c r="J54" s="2">
        <f t="shared" si="13"/>
        <v>4112</v>
      </c>
      <c r="K54" s="2">
        <v>809</v>
      </c>
      <c r="L54" s="2">
        <v>387</v>
      </c>
      <c r="M54" s="2">
        <v>1308</v>
      </c>
      <c r="N54" s="2">
        <v>727</v>
      </c>
      <c r="Q54" s="2">
        <v>1854</v>
      </c>
      <c r="R54" s="2">
        <v>1009</v>
      </c>
      <c r="S54" s="2">
        <v>1831</v>
      </c>
      <c r="T54" s="2">
        <v>972</v>
      </c>
      <c r="U54" s="2">
        <v>1718</v>
      </c>
      <c r="V54" s="2">
        <v>1017</v>
      </c>
      <c r="W54" s="2">
        <v>272</v>
      </c>
      <c r="X54" s="2">
        <v>184</v>
      </c>
      <c r="Y54" s="2">
        <v>4412</v>
      </c>
      <c r="Z54" s="2">
        <v>1358</v>
      </c>
    </row>
    <row r="55" spans="3:26" ht="15.75" customHeight="1">
      <c r="C55" s="16" t="s">
        <v>57</v>
      </c>
      <c r="E55" s="12">
        <v>12435</v>
      </c>
      <c r="F55" s="2">
        <v>5775</v>
      </c>
      <c r="G55" s="2">
        <f t="shared" si="12"/>
        <v>8649</v>
      </c>
      <c r="H55" s="2">
        <f t="shared" si="12"/>
        <v>4560</v>
      </c>
      <c r="I55" s="2">
        <f t="shared" si="13"/>
        <v>8446</v>
      </c>
      <c r="J55" s="2">
        <f t="shared" si="13"/>
        <v>4427</v>
      </c>
      <c r="K55" s="2">
        <v>730</v>
      </c>
      <c r="L55" s="2">
        <v>344</v>
      </c>
      <c r="M55" s="2">
        <v>1411</v>
      </c>
      <c r="N55" s="2">
        <v>767</v>
      </c>
      <c r="Q55" s="2">
        <v>2031</v>
      </c>
      <c r="R55" s="2">
        <v>1073</v>
      </c>
      <c r="S55" s="2">
        <v>1975</v>
      </c>
      <c r="T55" s="2">
        <v>999</v>
      </c>
      <c r="U55" s="2">
        <v>2299</v>
      </c>
      <c r="V55" s="2">
        <v>1244</v>
      </c>
      <c r="W55" s="2">
        <v>203</v>
      </c>
      <c r="X55" s="2">
        <v>133</v>
      </c>
      <c r="Y55" s="2">
        <v>3777</v>
      </c>
      <c r="Z55" s="2">
        <v>1212</v>
      </c>
    </row>
    <row r="56" ht="15.75" customHeight="1">
      <c r="E56" s="12"/>
    </row>
    <row r="57" ht="15.75" customHeight="1">
      <c r="E57" s="12"/>
    </row>
    <row r="58" spans="3:26" ht="15.75" customHeight="1">
      <c r="C58" s="8" t="s">
        <v>58</v>
      </c>
      <c r="E58" s="12">
        <f>SUM(E60:E63)</f>
        <v>26061</v>
      </c>
      <c r="F58" s="6">
        <f>SUM(F60:F63)</f>
        <v>11923</v>
      </c>
      <c r="G58" s="6">
        <f>SUM(G60:G63)</f>
        <v>16222</v>
      </c>
      <c r="H58" s="6">
        <f aca="true" t="shared" si="14" ref="H58:N58">SUM(H60:H63)</f>
        <v>9020</v>
      </c>
      <c r="I58" s="6">
        <f t="shared" si="14"/>
        <v>15748</v>
      </c>
      <c r="J58" s="6">
        <f t="shared" si="14"/>
        <v>8722</v>
      </c>
      <c r="K58" s="6">
        <f t="shared" si="14"/>
        <v>1511</v>
      </c>
      <c r="L58" s="6">
        <f t="shared" si="14"/>
        <v>785</v>
      </c>
      <c r="M58" s="6">
        <f t="shared" si="14"/>
        <v>2666</v>
      </c>
      <c r="N58" s="6">
        <f t="shared" si="14"/>
        <v>1494</v>
      </c>
      <c r="Q58" s="6">
        <f aca="true" t="shared" si="15" ref="Q58:Z58">SUM(Q60:Q63)</f>
        <v>3839</v>
      </c>
      <c r="R58" s="6">
        <f t="shared" si="15"/>
        <v>2140</v>
      </c>
      <c r="S58" s="6">
        <f t="shared" si="15"/>
        <v>3326</v>
      </c>
      <c r="T58" s="6">
        <f t="shared" si="15"/>
        <v>1806</v>
      </c>
      <c r="U58" s="6">
        <f t="shared" si="15"/>
        <v>4406</v>
      </c>
      <c r="V58" s="6">
        <f t="shared" si="15"/>
        <v>2497</v>
      </c>
      <c r="W58" s="6">
        <f t="shared" si="15"/>
        <v>474</v>
      </c>
      <c r="X58" s="6">
        <f t="shared" si="15"/>
        <v>298</v>
      </c>
      <c r="Y58" s="6">
        <f t="shared" si="15"/>
        <v>9830</v>
      </c>
      <c r="Z58" s="6">
        <f t="shared" si="15"/>
        <v>2899</v>
      </c>
    </row>
    <row r="59" ht="15.75" customHeight="1">
      <c r="E59" s="12"/>
    </row>
    <row r="60" spans="3:26" ht="15.75" customHeight="1">
      <c r="C60" s="16" t="s">
        <v>59</v>
      </c>
      <c r="E60" s="12">
        <v>5082</v>
      </c>
      <c r="F60" s="2">
        <v>2334</v>
      </c>
      <c r="G60" s="2">
        <f aca="true" t="shared" si="16" ref="G60:H63">I60+W60</f>
        <v>3042</v>
      </c>
      <c r="H60" s="2">
        <f t="shared" si="16"/>
        <v>1709</v>
      </c>
      <c r="I60" s="2">
        <f aca="true" t="shared" si="17" ref="I60:J63">SUM(K60,M60,Q60,S60,U60)</f>
        <v>2924</v>
      </c>
      <c r="J60" s="2">
        <f t="shared" si="17"/>
        <v>1634</v>
      </c>
      <c r="K60" s="2">
        <v>238</v>
      </c>
      <c r="L60" s="2">
        <v>121</v>
      </c>
      <c r="M60" s="2">
        <v>549</v>
      </c>
      <c r="N60" s="2">
        <v>300</v>
      </c>
      <c r="Q60" s="2">
        <v>750</v>
      </c>
      <c r="R60" s="2">
        <v>430</v>
      </c>
      <c r="S60" s="2">
        <v>656</v>
      </c>
      <c r="T60" s="2">
        <v>361</v>
      </c>
      <c r="U60" s="2">
        <v>731</v>
      </c>
      <c r="V60" s="2">
        <v>422</v>
      </c>
      <c r="W60" s="2">
        <v>118</v>
      </c>
      <c r="X60" s="2">
        <v>75</v>
      </c>
      <c r="Y60" s="2">
        <v>2036</v>
      </c>
      <c r="Z60" s="2">
        <v>622</v>
      </c>
    </row>
    <row r="61" spans="3:26" ht="15.75" customHeight="1">
      <c r="C61" s="16" t="s">
        <v>60</v>
      </c>
      <c r="E61" s="12">
        <v>6525</v>
      </c>
      <c r="F61" s="2">
        <v>3017</v>
      </c>
      <c r="G61" s="2">
        <f t="shared" si="16"/>
        <v>4163</v>
      </c>
      <c r="H61" s="2">
        <f t="shared" si="16"/>
        <v>2319</v>
      </c>
      <c r="I61" s="2">
        <f t="shared" si="17"/>
        <v>4029</v>
      </c>
      <c r="J61" s="2">
        <f t="shared" si="17"/>
        <v>2233</v>
      </c>
      <c r="K61" s="2">
        <v>374</v>
      </c>
      <c r="L61" s="2">
        <v>197</v>
      </c>
      <c r="M61" s="2">
        <v>654</v>
      </c>
      <c r="N61" s="2">
        <v>380</v>
      </c>
      <c r="Q61" s="2">
        <v>978</v>
      </c>
      <c r="R61" s="2">
        <v>545</v>
      </c>
      <c r="S61" s="2">
        <v>888</v>
      </c>
      <c r="T61" s="2">
        <v>476</v>
      </c>
      <c r="U61" s="2">
        <v>1135</v>
      </c>
      <c r="V61" s="2">
        <v>635</v>
      </c>
      <c r="W61" s="2">
        <v>134</v>
      </c>
      <c r="X61" s="2">
        <v>86</v>
      </c>
      <c r="Y61" s="2">
        <v>2361</v>
      </c>
      <c r="Z61" s="2">
        <v>697</v>
      </c>
    </row>
    <row r="62" spans="3:26" ht="15.75" customHeight="1">
      <c r="C62" s="16" t="s">
        <v>61</v>
      </c>
      <c r="E62" s="12">
        <v>8888</v>
      </c>
      <c r="F62" s="2">
        <v>4142</v>
      </c>
      <c r="G62" s="2">
        <f t="shared" si="16"/>
        <v>5649</v>
      </c>
      <c r="H62" s="2">
        <f t="shared" si="16"/>
        <v>3177</v>
      </c>
      <c r="I62" s="2">
        <f t="shared" si="17"/>
        <v>5507</v>
      </c>
      <c r="J62" s="2">
        <f t="shared" si="17"/>
        <v>3086</v>
      </c>
      <c r="K62" s="2">
        <v>578</v>
      </c>
      <c r="L62" s="2">
        <v>317</v>
      </c>
      <c r="M62" s="2">
        <v>923</v>
      </c>
      <c r="N62" s="2">
        <v>521</v>
      </c>
      <c r="Q62" s="2">
        <v>1332</v>
      </c>
      <c r="R62" s="2">
        <v>738</v>
      </c>
      <c r="S62" s="2">
        <v>1156</v>
      </c>
      <c r="T62" s="2">
        <v>630</v>
      </c>
      <c r="U62" s="2">
        <v>1518</v>
      </c>
      <c r="V62" s="2">
        <v>880</v>
      </c>
      <c r="W62" s="2">
        <v>142</v>
      </c>
      <c r="X62" s="2">
        <v>91</v>
      </c>
      <c r="Y62" s="2">
        <v>3239</v>
      </c>
      <c r="Z62" s="2">
        <v>965</v>
      </c>
    </row>
    <row r="63" spans="3:26" ht="15.75" customHeight="1">
      <c r="C63" s="16" t="s">
        <v>62</v>
      </c>
      <c r="E63" s="12">
        <v>5566</v>
      </c>
      <c r="F63" s="2">
        <v>2430</v>
      </c>
      <c r="G63" s="2">
        <f t="shared" si="16"/>
        <v>3368</v>
      </c>
      <c r="H63" s="2">
        <f t="shared" si="16"/>
        <v>1815</v>
      </c>
      <c r="I63" s="2">
        <f t="shared" si="17"/>
        <v>3288</v>
      </c>
      <c r="J63" s="2">
        <f t="shared" si="17"/>
        <v>1769</v>
      </c>
      <c r="K63" s="2">
        <v>321</v>
      </c>
      <c r="L63" s="2">
        <v>150</v>
      </c>
      <c r="M63" s="2">
        <v>540</v>
      </c>
      <c r="N63" s="2">
        <v>293</v>
      </c>
      <c r="Q63" s="2">
        <v>779</v>
      </c>
      <c r="R63" s="2">
        <v>427</v>
      </c>
      <c r="S63" s="2">
        <v>626</v>
      </c>
      <c r="T63" s="2">
        <v>339</v>
      </c>
      <c r="U63" s="2">
        <v>1022</v>
      </c>
      <c r="V63" s="2">
        <v>560</v>
      </c>
      <c r="W63" s="2">
        <v>80</v>
      </c>
      <c r="X63" s="2">
        <v>46</v>
      </c>
      <c r="Y63" s="2">
        <v>2194</v>
      </c>
      <c r="Z63" s="2">
        <v>615</v>
      </c>
    </row>
    <row r="64" ht="15.75" customHeight="1">
      <c r="E64" s="12"/>
    </row>
    <row r="65" ht="15.75" customHeight="1">
      <c r="E65" s="12"/>
    </row>
    <row r="66" spans="3:26" ht="15.75" customHeight="1">
      <c r="C66" s="8" t="s">
        <v>63</v>
      </c>
      <c r="E66" s="12">
        <f>SUM(E68:E72,E85:E97)</f>
        <v>101645</v>
      </c>
      <c r="F66" s="6">
        <f>SUM(F68:F72,F85:F97)</f>
        <v>47028</v>
      </c>
      <c r="G66" s="6">
        <f>SUM(G68:G72,G85:G97)</f>
        <v>63401</v>
      </c>
      <c r="H66" s="6">
        <f>SUM(H68:H72,H85:H97)</f>
        <v>35526</v>
      </c>
      <c r="I66" s="6">
        <f>SUM(I68:I72,I85:I97)</f>
        <v>61451</v>
      </c>
      <c r="J66" s="6">
        <f>SUM(J68:J72,J85:J97)</f>
        <v>34239</v>
      </c>
      <c r="K66" s="6">
        <f>SUM(K68:K72,K85:K97)</f>
        <v>4698</v>
      </c>
      <c r="L66" s="6">
        <f>SUM(L68:L72,L85:L97)</f>
        <v>2489</v>
      </c>
      <c r="M66" s="6">
        <f>SUM(M68:M72,M85:M97)</f>
        <v>10118</v>
      </c>
      <c r="N66" s="6">
        <f>SUM(N68:N72,N85:N97)</f>
        <v>5632</v>
      </c>
      <c r="Q66" s="6">
        <f>SUM(Q68:Q72,Q85:Q97)</f>
        <v>15153</v>
      </c>
      <c r="R66" s="6">
        <f>SUM(R68:R72,R85:R97)</f>
        <v>8294</v>
      </c>
      <c r="S66" s="6">
        <f>SUM(S68:S72,S85:S97)</f>
        <v>13093</v>
      </c>
      <c r="T66" s="6">
        <f>SUM(T68:T72,T85:T97)</f>
        <v>7160</v>
      </c>
      <c r="U66" s="6">
        <f>SUM(U68:U72,U85:U97)</f>
        <v>18389</v>
      </c>
      <c r="V66" s="6">
        <f>SUM(V68:V72,V85:V97)</f>
        <v>10664</v>
      </c>
      <c r="W66" s="6">
        <f>SUM(W68:W72,W85:W97)</f>
        <v>1950</v>
      </c>
      <c r="X66" s="6">
        <f>SUM(X68:X72,X85:X97)</f>
        <v>1287</v>
      </c>
      <c r="Y66" s="6">
        <f>SUM(Y68:Y72,Y85:Y97)</f>
        <v>38225</v>
      </c>
      <c r="Z66" s="6">
        <f>SUM(Z68:Z72,Z85:Z97)</f>
        <v>11495</v>
      </c>
    </row>
    <row r="67" ht="15.75" customHeight="1">
      <c r="E67" s="12"/>
    </row>
    <row r="68" spans="3:26" ht="15.75" customHeight="1">
      <c r="C68" s="16" t="s">
        <v>64</v>
      </c>
      <c r="E68" s="12">
        <v>9665</v>
      </c>
      <c r="F68" s="2">
        <v>4543</v>
      </c>
      <c r="G68" s="2">
        <f aca="true" t="shared" si="18" ref="G68:H72">I68+W68</f>
        <v>6222</v>
      </c>
      <c r="H68" s="2">
        <f t="shared" si="18"/>
        <v>3452</v>
      </c>
      <c r="I68" s="2">
        <f aca="true" t="shared" si="19" ref="I68:J72">SUM(K68,M68,Q68,S68,U68)</f>
        <v>6054</v>
      </c>
      <c r="J68" s="2">
        <f t="shared" si="19"/>
        <v>3348</v>
      </c>
      <c r="K68" s="2">
        <v>544</v>
      </c>
      <c r="L68" s="2">
        <v>302</v>
      </c>
      <c r="M68" s="2">
        <v>1049</v>
      </c>
      <c r="N68" s="2">
        <v>580</v>
      </c>
      <c r="Q68" s="2">
        <v>1485</v>
      </c>
      <c r="R68" s="2">
        <v>811</v>
      </c>
      <c r="S68" s="2">
        <v>1280</v>
      </c>
      <c r="T68" s="2">
        <v>697</v>
      </c>
      <c r="U68" s="2">
        <v>1696</v>
      </c>
      <c r="V68" s="2">
        <v>958</v>
      </c>
      <c r="W68" s="2">
        <v>168</v>
      </c>
      <c r="X68" s="2">
        <v>104</v>
      </c>
      <c r="Y68" s="2">
        <v>3442</v>
      </c>
      <c r="Z68" s="2">
        <v>1090</v>
      </c>
    </row>
    <row r="69" spans="3:26" ht="15.75" customHeight="1">
      <c r="C69" s="16" t="s">
        <v>65</v>
      </c>
      <c r="E69" s="12">
        <v>9528</v>
      </c>
      <c r="F69" s="2">
        <v>4491</v>
      </c>
      <c r="G69" s="2">
        <f t="shared" si="18"/>
        <v>6172</v>
      </c>
      <c r="H69" s="2">
        <f t="shared" si="18"/>
        <v>3417</v>
      </c>
      <c r="I69" s="2">
        <f t="shared" si="19"/>
        <v>6000</v>
      </c>
      <c r="J69" s="2">
        <f t="shared" si="19"/>
        <v>3315</v>
      </c>
      <c r="K69" s="2">
        <v>449</v>
      </c>
      <c r="L69" s="2">
        <v>239</v>
      </c>
      <c r="M69" s="2">
        <v>1025</v>
      </c>
      <c r="N69" s="2">
        <v>580</v>
      </c>
      <c r="Q69" s="2">
        <v>1498</v>
      </c>
      <c r="R69" s="2">
        <v>815</v>
      </c>
      <c r="S69" s="2">
        <v>1237</v>
      </c>
      <c r="T69" s="2">
        <v>667</v>
      </c>
      <c r="U69" s="2">
        <v>1791</v>
      </c>
      <c r="V69" s="2">
        <v>1014</v>
      </c>
      <c r="W69" s="2">
        <v>172</v>
      </c>
      <c r="X69" s="2">
        <v>102</v>
      </c>
      <c r="Y69" s="2">
        <v>3356</v>
      </c>
      <c r="Z69" s="2">
        <v>1074</v>
      </c>
    </row>
    <row r="70" spans="3:26" ht="15.75" customHeight="1">
      <c r="C70" s="16" t="s">
        <v>66</v>
      </c>
      <c r="E70" s="12">
        <v>5002</v>
      </c>
      <c r="F70" s="2">
        <v>2366</v>
      </c>
      <c r="G70" s="2">
        <f t="shared" si="18"/>
        <v>3234</v>
      </c>
      <c r="H70" s="2">
        <f t="shared" si="18"/>
        <v>1820</v>
      </c>
      <c r="I70" s="2">
        <f t="shared" si="19"/>
        <v>3161</v>
      </c>
      <c r="J70" s="2">
        <f t="shared" si="19"/>
        <v>1765</v>
      </c>
      <c r="K70" s="2">
        <v>322</v>
      </c>
      <c r="L70" s="2">
        <v>185</v>
      </c>
      <c r="M70" s="2">
        <v>545</v>
      </c>
      <c r="N70" s="2">
        <v>329</v>
      </c>
      <c r="Q70" s="2">
        <v>813</v>
      </c>
      <c r="R70" s="2">
        <v>422</v>
      </c>
      <c r="S70" s="2">
        <v>575</v>
      </c>
      <c r="T70" s="2">
        <v>322</v>
      </c>
      <c r="U70" s="2">
        <v>906</v>
      </c>
      <c r="V70" s="2">
        <v>507</v>
      </c>
      <c r="W70" s="2">
        <v>73</v>
      </c>
      <c r="X70" s="2">
        <v>55</v>
      </c>
      <c r="Y70" s="2">
        <v>1767</v>
      </c>
      <c r="Z70" s="2">
        <v>546</v>
      </c>
    </row>
    <row r="71" spans="3:26" ht="15.75" customHeight="1">
      <c r="C71" s="16" t="s">
        <v>67</v>
      </c>
      <c r="E71" s="12">
        <v>6264</v>
      </c>
      <c r="F71" s="2">
        <v>2934</v>
      </c>
      <c r="G71" s="2">
        <f t="shared" si="18"/>
        <v>4105</v>
      </c>
      <c r="H71" s="2">
        <f t="shared" si="18"/>
        <v>2291</v>
      </c>
      <c r="I71" s="2">
        <f t="shared" si="19"/>
        <v>3987</v>
      </c>
      <c r="J71" s="2">
        <f t="shared" si="19"/>
        <v>2218</v>
      </c>
      <c r="K71" s="2">
        <v>319</v>
      </c>
      <c r="L71" s="2">
        <v>171</v>
      </c>
      <c r="M71" s="2">
        <v>657</v>
      </c>
      <c r="N71" s="2">
        <v>366</v>
      </c>
      <c r="Q71" s="2">
        <v>1007</v>
      </c>
      <c r="R71" s="2">
        <v>568</v>
      </c>
      <c r="S71" s="2">
        <v>730</v>
      </c>
      <c r="T71" s="2">
        <v>395</v>
      </c>
      <c r="U71" s="2">
        <v>1274</v>
      </c>
      <c r="V71" s="2">
        <v>718</v>
      </c>
      <c r="W71" s="2">
        <v>118</v>
      </c>
      <c r="X71" s="2">
        <v>73</v>
      </c>
      <c r="Y71" s="2">
        <v>2157</v>
      </c>
      <c r="Z71" s="2">
        <v>642</v>
      </c>
    </row>
    <row r="72" spans="3:27" ht="15.75" customHeight="1">
      <c r="C72" s="17" t="s">
        <v>68</v>
      </c>
      <c r="E72" s="12">
        <v>3852</v>
      </c>
      <c r="F72" s="2">
        <v>1807</v>
      </c>
      <c r="G72" s="2">
        <f t="shared" si="18"/>
        <v>2358</v>
      </c>
      <c r="H72" s="2">
        <f t="shared" si="18"/>
        <v>1334</v>
      </c>
      <c r="I72" s="2">
        <f t="shared" si="19"/>
        <v>2267</v>
      </c>
      <c r="J72" s="2">
        <f t="shared" si="19"/>
        <v>1274</v>
      </c>
      <c r="K72" s="2">
        <v>211</v>
      </c>
      <c r="L72" s="2">
        <v>111</v>
      </c>
      <c r="M72" s="2">
        <v>426</v>
      </c>
      <c r="N72" s="2">
        <v>241</v>
      </c>
      <c r="Q72" s="2">
        <v>557</v>
      </c>
      <c r="R72" s="2">
        <v>313</v>
      </c>
      <c r="S72" s="2">
        <v>485</v>
      </c>
      <c r="T72" s="2">
        <v>260</v>
      </c>
      <c r="U72" s="2">
        <v>588</v>
      </c>
      <c r="V72" s="2">
        <v>349</v>
      </c>
      <c r="W72" s="2">
        <v>91</v>
      </c>
      <c r="X72" s="2">
        <v>60</v>
      </c>
      <c r="Y72" s="2">
        <v>1492</v>
      </c>
      <c r="Z72" s="2">
        <v>471</v>
      </c>
      <c r="AA72" s="6"/>
    </row>
    <row r="73" spans="2:26" ht="15.75" customHeight="1" thickBot="1">
      <c r="B73" s="5"/>
      <c r="C73" s="5"/>
      <c r="D73" s="5"/>
      <c r="E73" s="32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" customHeight="1"/>
    <row r="76" spans="1:30" ht="15" customHeight="1">
      <c r="A76" s="3"/>
      <c r="AA76" s="3"/>
      <c r="AB76" s="3"/>
      <c r="AC76" s="3"/>
      <c r="AD76" s="3"/>
    </row>
    <row r="77" spans="1:30" ht="14.25">
      <c r="A77" s="3"/>
      <c r="B77" s="3" t="s">
        <v>69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9" t="s">
        <v>70</v>
      </c>
      <c r="Y77" s="9"/>
      <c r="Z77" s="18"/>
      <c r="AA77" s="3"/>
      <c r="AB77" s="3"/>
      <c r="AC77" s="3"/>
      <c r="AD77" s="3"/>
    </row>
    <row r="78" spans="1:30" ht="24" customHeight="1">
      <c r="A78" s="3"/>
      <c r="B78" s="3"/>
      <c r="C78" s="1" t="s">
        <v>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" t="s">
        <v>4</v>
      </c>
      <c r="R78" s="3"/>
      <c r="S78" s="3"/>
      <c r="T78" s="3"/>
      <c r="U78" s="3"/>
      <c r="V78" s="19"/>
      <c r="W78" s="3" t="s">
        <v>71</v>
      </c>
      <c r="X78" s="3"/>
      <c r="Y78" s="3"/>
      <c r="Z78" s="3"/>
      <c r="AA78" s="3"/>
      <c r="AB78" s="3"/>
      <c r="AC78" s="3"/>
      <c r="AD78" s="3"/>
    </row>
    <row r="79" spans="1:30" ht="15" customHeight="1" thickBot="1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3"/>
      <c r="P79" s="3"/>
      <c r="Q79" s="10"/>
      <c r="R79" s="10"/>
      <c r="S79" s="10"/>
      <c r="T79" s="10"/>
      <c r="U79" s="10"/>
      <c r="V79" s="10"/>
      <c r="W79" s="10"/>
      <c r="X79" s="10"/>
      <c r="Y79" s="10"/>
      <c r="Z79" s="15" t="s">
        <v>7</v>
      </c>
      <c r="AA79" s="3"/>
      <c r="AB79" s="3"/>
      <c r="AC79" s="3"/>
      <c r="AD79" s="3"/>
    </row>
    <row r="80" spans="5:27" ht="18" customHeight="1">
      <c r="E80" s="33" t="s">
        <v>10</v>
      </c>
      <c r="F80" s="34"/>
      <c r="G80" s="22" t="s">
        <v>8</v>
      </c>
      <c r="H80" s="7"/>
      <c r="I80" s="7"/>
      <c r="J80" s="7"/>
      <c r="K80" s="7"/>
      <c r="L80" s="7"/>
      <c r="M80" s="7"/>
      <c r="N80" s="7"/>
      <c r="Q80" s="7" t="s">
        <v>9</v>
      </c>
      <c r="R80" s="7"/>
      <c r="S80" s="7"/>
      <c r="T80" s="7"/>
      <c r="U80" s="7"/>
      <c r="V80" s="7"/>
      <c r="W80" s="7"/>
      <c r="X80" s="7"/>
      <c r="Y80" s="33" t="s">
        <v>14</v>
      </c>
      <c r="Z80" s="37"/>
      <c r="AA80" s="6"/>
    </row>
    <row r="81" spans="3:27" ht="18" customHeight="1">
      <c r="C81" s="39" t="s">
        <v>15</v>
      </c>
      <c r="E81" s="35"/>
      <c r="F81" s="36"/>
      <c r="G81" s="23" t="s">
        <v>11</v>
      </c>
      <c r="H81" s="24"/>
      <c r="I81" s="25" t="s">
        <v>12</v>
      </c>
      <c r="J81" s="26"/>
      <c r="K81" s="26"/>
      <c r="L81" s="26"/>
      <c r="M81" s="26"/>
      <c r="N81" s="26"/>
      <c r="Q81" s="7" t="s">
        <v>13</v>
      </c>
      <c r="R81" s="7"/>
      <c r="S81" s="7"/>
      <c r="T81" s="7"/>
      <c r="U81" s="7"/>
      <c r="V81" s="7"/>
      <c r="W81" s="41" t="s">
        <v>22</v>
      </c>
      <c r="X81" s="42"/>
      <c r="Y81" s="35"/>
      <c r="Z81" s="38"/>
      <c r="AA81" s="6"/>
    </row>
    <row r="82" spans="3:27" ht="18" customHeight="1">
      <c r="C82" s="40"/>
      <c r="E82" s="45" t="s">
        <v>23</v>
      </c>
      <c r="F82" s="45" t="s">
        <v>24</v>
      </c>
      <c r="G82" s="45" t="s">
        <v>23</v>
      </c>
      <c r="H82" s="45" t="s">
        <v>24</v>
      </c>
      <c r="I82" s="23" t="s">
        <v>16</v>
      </c>
      <c r="J82" s="24"/>
      <c r="K82" s="23" t="s">
        <v>17</v>
      </c>
      <c r="L82" s="24"/>
      <c r="M82" s="23" t="s">
        <v>18</v>
      </c>
      <c r="N82" s="24"/>
      <c r="Q82" s="24" t="s">
        <v>19</v>
      </c>
      <c r="R82" s="24"/>
      <c r="S82" s="23" t="s">
        <v>20</v>
      </c>
      <c r="T82" s="24"/>
      <c r="U82" s="23" t="s">
        <v>21</v>
      </c>
      <c r="V82" s="24"/>
      <c r="W82" s="43"/>
      <c r="X82" s="44"/>
      <c r="Y82" s="45" t="s">
        <v>23</v>
      </c>
      <c r="Z82" s="41" t="s">
        <v>24</v>
      </c>
      <c r="AA82" s="6"/>
    </row>
    <row r="83" spans="2:26" ht="18" customHeight="1">
      <c r="B83" s="7"/>
      <c r="C83" s="7"/>
      <c r="D83" s="7"/>
      <c r="E83" s="46"/>
      <c r="F83" s="46"/>
      <c r="G83" s="46"/>
      <c r="H83" s="46"/>
      <c r="I83" s="27" t="s">
        <v>23</v>
      </c>
      <c r="J83" s="27" t="s">
        <v>24</v>
      </c>
      <c r="K83" s="27" t="s">
        <v>23</v>
      </c>
      <c r="L83" s="27" t="s">
        <v>24</v>
      </c>
      <c r="M83" s="27" t="s">
        <v>23</v>
      </c>
      <c r="N83" s="27" t="s">
        <v>24</v>
      </c>
      <c r="Q83" s="28" t="s">
        <v>23</v>
      </c>
      <c r="R83" s="27" t="s">
        <v>24</v>
      </c>
      <c r="S83" s="27" t="s">
        <v>23</v>
      </c>
      <c r="T83" s="27" t="s">
        <v>24</v>
      </c>
      <c r="U83" s="27" t="s">
        <v>23</v>
      </c>
      <c r="V83" s="27" t="s">
        <v>24</v>
      </c>
      <c r="W83" s="27" t="s">
        <v>23</v>
      </c>
      <c r="X83" s="27" t="s">
        <v>24</v>
      </c>
      <c r="Y83" s="46"/>
      <c r="Z83" s="47"/>
    </row>
    <row r="84" spans="1:30" ht="15.75" customHeight="1">
      <c r="A84" s="3"/>
      <c r="B84" s="3"/>
      <c r="C84" s="3"/>
      <c r="D84" s="3"/>
      <c r="E84" s="1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5.75" customHeight="1">
      <c r="A85" s="3"/>
      <c r="B85" s="3"/>
      <c r="C85" s="17" t="s">
        <v>72</v>
      </c>
      <c r="D85" s="3"/>
      <c r="E85" s="12">
        <v>4749</v>
      </c>
      <c r="F85" s="2">
        <v>2197</v>
      </c>
      <c r="G85" s="2">
        <f aca="true" t="shared" si="20" ref="G85:H89">I85+W85</f>
        <v>2981</v>
      </c>
      <c r="H85" s="2">
        <f t="shared" si="20"/>
        <v>1733</v>
      </c>
      <c r="I85" s="2">
        <f aca="true" t="shared" si="21" ref="I85:J97">SUM(K85,M85,Q85,S85,U85)</f>
        <v>2903</v>
      </c>
      <c r="J85" s="2">
        <f t="shared" si="21"/>
        <v>1681</v>
      </c>
      <c r="K85" s="2">
        <v>233</v>
      </c>
      <c r="L85" s="2">
        <v>119</v>
      </c>
      <c r="M85" s="2">
        <v>490</v>
      </c>
      <c r="N85" s="2">
        <v>280</v>
      </c>
      <c r="Q85" s="2">
        <v>759</v>
      </c>
      <c r="R85" s="2">
        <v>433</v>
      </c>
      <c r="S85" s="2">
        <v>566</v>
      </c>
      <c r="T85" s="2">
        <v>309</v>
      </c>
      <c r="U85" s="2">
        <v>855</v>
      </c>
      <c r="V85" s="2">
        <v>540</v>
      </c>
      <c r="W85" s="2">
        <v>78</v>
      </c>
      <c r="X85" s="2">
        <v>52</v>
      </c>
      <c r="Y85" s="2">
        <v>1767</v>
      </c>
      <c r="Z85" s="2">
        <v>464</v>
      </c>
      <c r="AA85" s="3"/>
      <c r="AB85" s="3"/>
      <c r="AC85" s="3"/>
      <c r="AD85" s="3"/>
    </row>
    <row r="86" spans="1:30" ht="15.75" customHeight="1">
      <c r="A86" s="3"/>
      <c r="B86" s="3"/>
      <c r="C86" s="17" t="s">
        <v>73</v>
      </c>
      <c r="D86" s="3"/>
      <c r="E86" s="12">
        <v>10289</v>
      </c>
      <c r="F86" s="2">
        <v>4590</v>
      </c>
      <c r="G86" s="2">
        <f t="shared" si="20"/>
        <v>6650</v>
      </c>
      <c r="H86" s="2">
        <f t="shared" si="20"/>
        <v>3602</v>
      </c>
      <c r="I86" s="2">
        <f t="shared" si="21"/>
        <v>6404</v>
      </c>
      <c r="J86" s="2">
        <f t="shared" si="21"/>
        <v>3436</v>
      </c>
      <c r="K86" s="2">
        <f>174+467</f>
        <v>641</v>
      </c>
      <c r="L86" s="2">
        <f>70+218</f>
        <v>288</v>
      </c>
      <c r="M86" s="2">
        <f>522+507</f>
        <v>1029</v>
      </c>
      <c r="N86" s="2">
        <f>253+302</f>
        <v>555</v>
      </c>
      <c r="Q86" s="2">
        <f>682+759</f>
        <v>1441</v>
      </c>
      <c r="R86" s="2">
        <f>390+411</f>
        <v>801</v>
      </c>
      <c r="S86" s="2">
        <f>773+655</f>
        <v>1428</v>
      </c>
      <c r="T86" s="2">
        <f>395+331</f>
        <v>726</v>
      </c>
      <c r="U86" s="2">
        <f>666+567+347+184+70+23+8</f>
        <v>1865</v>
      </c>
      <c r="V86" s="2">
        <f>369+302+213+116+45+15+6</f>
        <v>1066</v>
      </c>
      <c r="W86" s="2">
        <v>246</v>
      </c>
      <c r="X86" s="2">
        <v>166</v>
      </c>
      <c r="Y86" s="2">
        <v>3637</v>
      </c>
      <c r="Z86" s="2">
        <v>987</v>
      </c>
      <c r="AA86" s="3"/>
      <c r="AB86" s="3"/>
      <c r="AC86" s="3"/>
      <c r="AD86" s="3"/>
    </row>
    <row r="87" spans="1:30" ht="15.75" customHeight="1">
      <c r="A87" s="3"/>
      <c r="B87" s="3"/>
      <c r="C87" s="16" t="s">
        <v>74</v>
      </c>
      <c r="D87" s="3"/>
      <c r="E87" s="12">
        <v>4088</v>
      </c>
      <c r="F87" s="2">
        <v>2006</v>
      </c>
      <c r="G87" s="2">
        <f t="shared" si="20"/>
        <v>2586</v>
      </c>
      <c r="H87" s="2">
        <f t="shared" si="20"/>
        <v>1496</v>
      </c>
      <c r="I87" s="2">
        <f t="shared" si="21"/>
        <v>2523</v>
      </c>
      <c r="J87" s="2">
        <f t="shared" si="21"/>
        <v>1452</v>
      </c>
      <c r="K87" s="2">
        <f>31+127</f>
        <v>158</v>
      </c>
      <c r="L87" s="2">
        <f>20+73</f>
        <v>93</v>
      </c>
      <c r="M87" s="2">
        <f>167+243</f>
        <v>410</v>
      </c>
      <c r="N87" s="2">
        <f>99+157</f>
        <v>256</v>
      </c>
      <c r="Q87" s="2">
        <f>277+352</f>
        <v>629</v>
      </c>
      <c r="R87" s="2">
        <f>140+197</f>
        <v>337</v>
      </c>
      <c r="S87" s="2">
        <f>276+208</f>
        <v>484</v>
      </c>
      <c r="T87" s="2">
        <f>163+116</f>
        <v>279</v>
      </c>
      <c r="U87" s="2">
        <f>246+251+201+104+27+12+1</f>
        <v>842</v>
      </c>
      <c r="V87" s="2">
        <f>130+144+117+68+19+8+1</f>
        <v>487</v>
      </c>
      <c r="W87" s="2">
        <v>63</v>
      </c>
      <c r="X87" s="2">
        <v>44</v>
      </c>
      <c r="Y87" s="2">
        <v>1499</v>
      </c>
      <c r="Z87" s="2">
        <v>509</v>
      </c>
      <c r="AA87" s="3"/>
      <c r="AB87" s="3"/>
      <c r="AC87" s="3"/>
      <c r="AD87" s="3"/>
    </row>
    <row r="88" spans="1:30" ht="15.75" customHeight="1">
      <c r="A88" s="3"/>
      <c r="B88" s="3"/>
      <c r="C88" s="16" t="s">
        <v>75</v>
      </c>
      <c r="D88" s="3"/>
      <c r="E88" s="12">
        <v>7075</v>
      </c>
      <c r="F88" s="2">
        <v>3240</v>
      </c>
      <c r="G88" s="2">
        <f t="shared" si="20"/>
        <v>4109</v>
      </c>
      <c r="H88" s="2">
        <f t="shared" si="20"/>
        <v>2357</v>
      </c>
      <c r="I88" s="2">
        <f t="shared" si="21"/>
        <v>3917</v>
      </c>
      <c r="J88" s="2">
        <f t="shared" si="21"/>
        <v>2222</v>
      </c>
      <c r="K88" s="2">
        <v>222</v>
      </c>
      <c r="L88" s="2">
        <v>122</v>
      </c>
      <c r="M88" s="2">
        <f>247+307</f>
        <v>554</v>
      </c>
      <c r="N88" s="2">
        <v>298</v>
      </c>
      <c r="Q88" s="2">
        <f>465+537</f>
        <v>1002</v>
      </c>
      <c r="R88" s="2">
        <v>551</v>
      </c>
      <c r="S88" s="2">
        <f>530+445</f>
        <v>975</v>
      </c>
      <c r="T88" s="2">
        <v>577</v>
      </c>
      <c r="U88" s="2">
        <f>354+336+261+140+50+19+4</f>
        <v>1164</v>
      </c>
      <c r="V88" s="2">
        <f>185+194+153+96+30+14+2</f>
        <v>674</v>
      </c>
      <c r="W88" s="2">
        <v>192</v>
      </c>
      <c r="X88" s="2">
        <v>135</v>
      </c>
      <c r="Y88" s="2">
        <v>2965</v>
      </c>
      <c r="Z88" s="2">
        <v>883</v>
      </c>
      <c r="AA88" s="3"/>
      <c r="AB88" s="3"/>
      <c r="AC88" s="3"/>
      <c r="AD88" s="3"/>
    </row>
    <row r="89" spans="1:30" ht="15.75" customHeight="1">
      <c r="A89" s="3"/>
      <c r="B89" s="3"/>
      <c r="C89" s="16" t="s">
        <v>76</v>
      </c>
      <c r="D89" s="3"/>
      <c r="E89" s="12">
        <v>6011</v>
      </c>
      <c r="F89" s="2">
        <v>2739</v>
      </c>
      <c r="G89" s="2">
        <f t="shared" si="20"/>
        <v>3145</v>
      </c>
      <c r="H89" s="2">
        <f t="shared" si="20"/>
        <v>1855</v>
      </c>
      <c r="I89" s="2">
        <f t="shared" si="21"/>
        <v>2972</v>
      </c>
      <c r="J89" s="2">
        <f t="shared" si="21"/>
        <v>1729</v>
      </c>
      <c r="K89" s="2">
        <f>27+139</f>
        <v>166</v>
      </c>
      <c r="L89" s="2">
        <f>18+67</f>
        <v>85</v>
      </c>
      <c r="M89" s="2">
        <f>197+235</f>
        <v>432</v>
      </c>
      <c r="N89" s="2">
        <v>241</v>
      </c>
      <c r="Q89" s="2">
        <f>298+379</f>
        <v>677</v>
      </c>
      <c r="R89" s="2">
        <f>167+203</f>
        <v>370</v>
      </c>
      <c r="S89" s="2">
        <f>451+379</f>
        <v>830</v>
      </c>
      <c r="T89" s="2">
        <f>267+222</f>
        <v>489</v>
      </c>
      <c r="U89" s="2">
        <f>296+262+153+111+37+7+1</f>
        <v>867</v>
      </c>
      <c r="V89" s="2">
        <f>176+168+93+76+26+5</f>
        <v>544</v>
      </c>
      <c r="W89" s="2">
        <v>173</v>
      </c>
      <c r="X89" s="2">
        <v>126</v>
      </c>
      <c r="Y89" s="2">
        <v>2863</v>
      </c>
      <c r="Z89" s="2">
        <v>883</v>
      </c>
      <c r="AA89" s="3"/>
      <c r="AB89" s="3"/>
      <c r="AC89" s="3"/>
      <c r="AD89" s="3"/>
    </row>
    <row r="90" spans="1:30" ht="15.75" customHeight="1">
      <c r="A90" s="3"/>
      <c r="B90" s="3"/>
      <c r="C90" s="3"/>
      <c r="D90" s="3"/>
      <c r="E90" s="12"/>
      <c r="AA90" s="3"/>
      <c r="AB90" s="3"/>
      <c r="AC90" s="3"/>
      <c r="AD90" s="3"/>
    </row>
    <row r="91" spans="1:30" ht="15.75" customHeight="1">
      <c r="A91" s="3"/>
      <c r="B91" s="3"/>
      <c r="C91" s="16" t="s">
        <v>77</v>
      </c>
      <c r="D91" s="3"/>
      <c r="E91" s="12">
        <v>5723</v>
      </c>
      <c r="F91" s="2">
        <v>2573</v>
      </c>
      <c r="G91" s="2">
        <f aca="true" t="shared" si="22" ref="G91:H97">I91+W91</f>
        <v>3267</v>
      </c>
      <c r="H91" s="2">
        <f t="shared" si="22"/>
        <v>1867</v>
      </c>
      <c r="I91" s="2">
        <f t="shared" si="21"/>
        <v>3170</v>
      </c>
      <c r="J91" s="2">
        <f t="shared" si="21"/>
        <v>1803</v>
      </c>
      <c r="K91" s="2">
        <v>173</v>
      </c>
      <c r="L91" s="2">
        <v>79</v>
      </c>
      <c r="M91" s="2">
        <v>462</v>
      </c>
      <c r="N91" s="2">
        <v>247</v>
      </c>
      <c r="Q91" s="2">
        <f>346+404</f>
        <v>750</v>
      </c>
      <c r="R91" s="2">
        <f>197+205</f>
        <v>402</v>
      </c>
      <c r="S91" s="2">
        <v>711</v>
      </c>
      <c r="T91" s="2">
        <f>252+165</f>
        <v>417</v>
      </c>
      <c r="U91" s="2">
        <f>331+326+226+125+51+12+3</f>
        <v>1074</v>
      </c>
      <c r="V91" s="2">
        <f>183+193+155+86+31+7+3</f>
        <v>658</v>
      </c>
      <c r="W91" s="2">
        <v>97</v>
      </c>
      <c r="X91" s="2">
        <v>64</v>
      </c>
      <c r="Y91" s="2">
        <v>2455</v>
      </c>
      <c r="Z91" s="2">
        <v>706</v>
      </c>
      <c r="AA91" s="3"/>
      <c r="AB91" s="3"/>
      <c r="AC91" s="3"/>
      <c r="AD91" s="3"/>
    </row>
    <row r="92" spans="1:30" ht="15.75" customHeight="1">
      <c r="A92" s="3"/>
      <c r="B92" s="3"/>
      <c r="C92" s="16" t="s">
        <v>78</v>
      </c>
      <c r="D92" s="3"/>
      <c r="E92" s="12">
        <v>3734</v>
      </c>
      <c r="F92" s="2">
        <v>1775</v>
      </c>
      <c r="G92" s="2">
        <f t="shared" si="22"/>
        <v>2423</v>
      </c>
      <c r="H92" s="2">
        <f t="shared" si="22"/>
        <v>1373</v>
      </c>
      <c r="I92" s="2">
        <f t="shared" si="21"/>
        <v>2377</v>
      </c>
      <c r="J92" s="2">
        <f t="shared" si="21"/>
        <v>1343</v>
      </c>
      <c r="K92" s="2">
        <v>143</v>
      </c>
      <c r="L92" s="2">
        <v>72</v>
      </c>
      <c r="M92" s="2">
        <f>159+229</f>
        <v>388</v>
      </c>
      <c r="N92" s="2">
        <f>86+144</f>
        <v>230</v>
      </c>
      <c r="Q92" s="2">
        <f>259+265</f>
        <v>524</v>
      </c>
      <c r="R92" s="2">
        <f>153+139</f>
        <v>292</v>
      </c>
      <c r="S92" s="2">
        <v>483</v>
      </c>
      <c r="T92" s="2">
        <v>257</v>
      </c>
      <c r="U92" s="2">
        <f>243+252+200+97+39+8</f>
        <v>839</v>
      </c>
      <c r="V92" s="2">
        <f>129+148+125+57+27+6</f>
        <v>492</v>
      </c>
      <c r="W92" s="2">
        <v>46</v>
      </c>
      <c r="X92" s="2">
        <v>30</v>
      </c>
      <c r="Y92" s="2">
        <v>1311</v>
      </c>
      <c r="Z92" s="2">
        <v>402</v>
      </c>
      <c r="AA92" s="3"/>
      <c r="AB92" s="3"/>
      <c r="AC92" s="3"/>
      <c r="AD92" s="3"/>
    </row>
    <row r="93" spans="1:30" ht="15.75" customHeight="1">
      <c r="A93" s="3"/>
      <c r="B93" s="3"/>
      <c r="C93" s="16" t="s">
        <v>79</v>
      </c>
      <c r="D93" s="3"/>
      <c r="E93" s="12">
        <v>7468</v>
      </c>
      <c r="F93" s="2">
        <v>3474</v>
      </c>
      <c r="G93" s="2">
        <f t="shared" si="22"/>
        <v>4751</v>
      </c>
      <c r="H93" s="2">
        <f t="shared" si="22"/>
        <v>2651</v>
      </c>
      <c r="I93" s="2">
        <f t="shared" si="21"/>
        <v>4633</v>
      </c>
      <c r="J93" s="2">
        <f t="shared" si="21"/>
        <v>2573</v>
      </c>
      <c r="K93" s="2">
        <v>333</v>
      </c>
      <c r="L93" s="2">
        <f>39+155</f>
        <v>194</v>
      </c>
      <c r="M93" s="2">
        <f>342+430</f>
        <v>772</v>
      </c>
      <c r="N93" s="2">
        <f>172+247</f>
        <v>419</v>
      </c>
      <c r="Q93" s="2">
        <f>538+619</f>
        <v>1157</v>
      </c>
      <c r="R93" s="2">
        <f>298+338</f>
        <v>636</v>
      </c>
      <c r="S93" s="2">
        <f>535+436</f>
        <v>971</v>
      </c>
      <c r="T93" s="2">
        <f>291+221</f>
        <v>512</v>
      </c>
      <c r="U93" s="2">
        <f>442+413+317+161+48+13+6</f>
        <v>1400</v>
      </c>
      <c r="V93" s="2">
        <v>812</v>
      </c>
      <c r="W93" s="2">
        <v>118</v>
      </c>
      <c r="X93" s="2">
        <v>78</v>
      </c>
      <c r="Y93" s="2">
        <v>2716</v>
      </c>
      <c r="Z93" s="2">
        <v>823</v>
      </c>
      <c r="AA93" s="3"/>
      <c r="AB93" s="3"/>
      <c r="AC93" s="3"/>
      <c r="AD93" s="3"/>
    </row>
    <row r="94" spans="1:30" ht="15.75" customHeight="1">
      <c r="A94" s="3"/>
      <c r="B94" s="3"/>
      <c r="C94" s="16" t="s">
        <v>80</v>
      </c>
      <c r="D94" s="3"/>
      <c r="E94" s="12">
        <v>7660</v>
      </c>
      <c r="F94" s="2">
        <v>3502</v>
      </c>
      <c r="G94" s="2">
        <f t="shared" si="22"/>
        <v>4970</v>
      </c>
      <c r="H94" s="2">
        <f t="shared" si="22"/>
        <v>2730</v>
      </c>
      <c r="I94" s="2">
        <f t="shared" si="21"/>
        <v>4842</v>
      </c>
      <c r="J94" s="2">
        <f t="shared" si="21"/>
        <v>2644</v>
      </c>
      <c r="K94" s="2">
        <v>289</v>
      </c>
      <c r="L94" s="2">
        <v>158</v>
      </c>
      <c r="M94" s="2">
        <f>390+460</f>
        <v>850</v>
      </c>
      <c r="N94" s="2">
        <f>199+262</f>
        <v>461</v>
      </c>
      <c r="Q94" s="2">
        <f>569+614</f>
        <v>1183</v>
      </c>
      <c r="R94" s="2">
        <v>651</v>
      </c>
      <c r="S94" s="2">
        <v>981</v>
      </c>
      <c r="T94" s="2">
        <f>311+189</f>
        <v>500</v>
      </c>
      <c r="U94" s="2">
        <f>451+417+372+182+79+29+9</f>
        <v>1539</v>
      </c>
      <c r="V94" s="2">
        <f>237+234+212+112+52+21+6</f>
        <v>874</v>
      </c>
      <c r="W94" s="2">
        <v>128</v>
      </c>
      <c r="X94" s="2">
        <v>86</v>
      </c>
      <c r="Y94" s="2">
        <v>2689</v>
      </c>
      <c r="Z94" s="2">
        <v>772</v>
      </c>
      <c r="AA94" s="3"/>
      <c r="AB94" s="3"/>
      <c r="AC94" s="3"/>
      <c r="AD94" s="3"/>
    </row>
    <row r="95" spans="1:30" ht="15.75" customHeight="1">
      <c r="A95" s="3"/>
      <c r="B95" s="3"/>
      <c r="C95" s="16" t="s">
        <v>81</v>
      </c>
      <c r="D95" s="3"/>
      <c r="E95" s="12">
        <v>4194</v>
      </c>
      <c r="F95" s="2">
        <v>1898</v>
      </c>
      <c r="G95" s="2">
        <f t="shared" si="22"/>
        <v>2577</v>
      </c>
      <c r="H95" s="2">
        <f t="shared" si="22"/>
        <v>1423</v>
      </c>
      <c r="I95" s="2">
        <f t="shared" si="21"/>
        <v>2502</v>
      </c>
      <c r="J95" s="2">
        <f t="shared" si="21"/>
        <v>1380</v>
      </c>
      <c r="K95" s="2">
        <v>182</v>
      </c>
      <c r="L95" s="2">
        <v>98</v>
      </c>
      <c r="M95" s="2">
        <f>181+229</f>
        <v>410</v>
      </c>
      <c r="N95" s="2">
        <v>216</v>
      </c>
      <c r="Q95" s="2">
        <v>614</v>
      </c>
      <c r="R95" s="2">
        <f>159+172</f>
        <v>331</v>
      </c>
      <c r="S95" s="2">
        <f>329+215</f>
        <v>544</v>
      </c>
      <c r="T95" s="2">
        <f>188+116</f>
        <v>304</v>
      </c>
      <c r="U95" s="2">
        <f>236+232+169+87+22+5+1</f>
        <v>752</v>
      </c>
      <c r="V95" s="2">
        <f>127+136+94+56+14+4</f>
        <v>431</v>
      </c>
      <c r="W95" s="2">
        <v>75</v>
      </c>
      <c r="X95" s="2">
        <v>43</v>
      </c>
      <c r="Y95" s="2">
        <v>1617</v>
      </c>
      <c r="Z95" s="2">
        <v>475</v>
      </c>
      <c r="AA95" s="3"/>
      <c r="AB95" s="3"/>
      <c r="AC95" s="3"/>
      <c r="AD95" s="3"/>
    </row>
    <row r="96" spans="1:30" ht="15.75" customHeight="1">
      <c r="A96" s="3"/>
      <c r="B96" s="3"/>
      <c r="C96" s="3"/>
      <c r="D96" s="3"/>
      <c r="E96" s="12"/>
      <c r="AA96" s="3"/>
      <c r="AB96" s="3"/>
      <c r="AC96" s="3"/>
      <c r="AD96" s="3"/>
    </row>
    <row r="97" spans="1:30" ht="15.75" customHeight="1">
      <c r="A97" s="3"/>
      <c r="B97" s="3"/>
      <c r="C97" s="16" t="s">
        <v>82</v>
      </c>
      <c r="D97" s="3"/>
      <c r="E97" s="12">
        <v>6343</v>
      </c>
      <c r="F97" s="2">
        <v>2893</v>
      </c>
      <c r="G97" s="2">
        <f t="shared" si="22"/>
        <v>3851</v>
      </c>
      <c r="H97" s="2">
        <f t="shared" si="22"/>
        <v>2125</v>
      </c>
      <c r="I97" s="2">
        <f t="shared" si="21"/>
        <v>3739</v>
      </c>
      <c r="J97" s="2">
        <f t="shared" si="21"/>
        <v>2056</v>
      </c>
      <c r="K97" s="2">
        <f>54+259</f>
        <v>313</v>
      </c>
      <c r="L97" s="2">
        <v>173</v>
      </c>
      <c r="M97" s="2">
        <f>282+337</f>
        <v>619</v>
      </c>
      <c r="N97" s="2">
        <f>148+185</f>
        <v>333</v>
      </c>
      <c r="Q97" s="2">
        <f>492+565</f>
        <v>1057</v>
      </c>
      <c r="R97" s="2">
        <f>255+306</f>
        <v>561</v>
      </c>
      <c r="S97" s="2">
        <f>465+348</f>
        <v>813</v>
      </c>
      <c r="T97" s="2">
        <f>262+187</f>
        <v>449</v>
      </c>
      <c r="U97" s="2">
        <f>331+276+205+95+24+5+1</f>
        <v>937</v>
      </c>
      <c r="V97" s="2">
        <f>170+170+124+56+16+4</f>
        <v>540</v>
      </c>
      <c r="W97" s="2">
        <v>112</v>
      </c>
      <c r="X97" s="2">
        <v>69</v>
      </c>
      <c r="Y97" s="2">
        <v>2492</v>
      </c>
      <c r="Z97" s="2">
        <v>768</v>
      </c>
      <c r="AA97" s="3"/>
      <c r="AB97" s="3"/>
      <c r="AC97" s="3"/>
      <c r="AD97" s="3"/>
    </row>
    <row r="98" spans="1:30" ht="15.75" customHeight="1">
      <c r="A98" s="3"/>
      <c r="B98" s="3"/>
      <c r="C98" s="3"/>
      <c r="D98" s="3"/>
      <c r="E98" s="12"/>
      <c r="AA98" s="3"/>
      <c r="AB98" s="3"/>
      <c r="AC98" s="3"/>
      <c r="AD98" s="3"/>
    </row>
    <row r="99" spans="1:30" ht="15.75" customHeight="1">
      <c r="A99" s="3"/>
      <c r="B99" s="3"/>
      <c r="C99" s="3"/>
      <c r="D99" s="3"/>
      <c r="E99" s="12"/>
      <c r="AA99" s="3"/>
      <c r="AB99" s="3"/>
      <c r="AC99" s="3"/>
      <c r="AD99" s="3"/>
    </row>
    <row r="100" spans="1:30" ht="15.75" customHeight="1">
      <c r="A100" s="3"/>
      <c r="B100" s="3"/>
      <c r="C100" s="13" t="s">
        <v>83</v>
      </c>
      <c r="D100" s="3"/>
      <c r="E100" s="12">
        <f>SUM(E102:E116)</f>
        <v>62705</v>
      </c>
      <c r="F100" s="6">
        <f>SUM(F102:F116)</f>
        <v>28881</v>
      </c>
      <c r="G100" s="6">
        <f aca="true" t="shared" si="23" ref="G100:N100">SUM(G102:G116)</f>
        <v>37485</v>
      </c>
      <c r="H100" s="6">
        <f t="shared" si="23"/>
        <v>21481</v>
      </c>
      <c r="I100" s="6">
        <f t="shared" si="23"/>
        <v>35865</v>
      </c>
      <c r="J100" s="6">
        <f t="shared" si="23"/>
        <v>20389</v>
      </c>
      <c r="K100" s="6">
        <f>SUM(K102:K116)</f>
        <v>2969</v>
      </c>
      <c r="L100" s="6">
        <f t="shared" si="23"/>
        <v>1595</v>
      </c>
      <c r="M100" s="6">
        <f t="shared" si="23"/>
        <v>5480</v>
      </c>
      <c r="N100" s="6">
        <f t="shared" si="23"/>
        <v>3145</v>
      </c>
      <c r="Q100" s="6">
        <f aca="true" t="shared" si="24" ref="Q100:Z100">SUM(Q102:Q116)</f>
        <v>8940</v>
      </c>
      <c r="R100" s="6">
        <f t="shared" si="24"/>
        <v>5043</v>
      </c>
      <c r="S100" s="6">
        <f t="shared" si="24"/>
        <v>8534</v>
      </c>
      <c r="T100" s="6">
        <f t="shared" si="24"/>
        <v>4718</v>
      </c>
      <c r="U100" s="6">
        <f t="shared" si="24"/>
        <v>9942</v>
      </c>
      <c r="V100" s="6">
        <f t="shared" si="24"/>
        <v>5888</v>
      </c>
      <c r="W100" s="6">
        <f t="shared" si="24"/>
        <v>1620</v>
      </c>
      <c r="X100" s="6">
        <f t="shared" si="24"/>
        <v>1092</v>
      </c>
      <c r="Y100" s="6">
        <f t="shared" si="24"/>
        <v>25197</v>
      </c>
      <c r="Z100" s="6">
        <f t="shared" si="24"/>
        <v>7393</v>
      </c>
      <c r="AA100" s="3"/>
      <c r="AB100" s="3"/>
      <c r="AC100" s="3"/>
      <c r="AD100" s="3"/>
    </row>
    <row r="101" spans="1:30" ht="15.75" customHeight="1">
      <c r="A101" s="3"/>
      <c r="B101" s="3"/>
      <c r="C101" s="3"/>
      <c r="D101" s="3"/>
      <c r="E101" s="12"/>
      <c r="AA101" s="3"/>
      <c r="AB101" s="3"/>
      <c r="AC101" s="3"/>
      <c r="AD101" s="3"/>
    </row>
    <row r="102" spans="1:30" ht="15.75" customHeight="1">
      <c r="A102" s="3"/>
      <c r="B102" s="3"/>
      <c r="C102" s="16" t="s">
        <v>84</v>
      </c>
      <c r="D102" s="3"/>
      <c r="E102" s="12">
        <v>1676</v>
      </c>
      <c r="F102" s="2">
        <v>776</v>
      </c>
      <c r="G102" s="2">
        <f aca="true" t="shared" si="25" ref="G102:H116">I102+W102</f>
        <v>940</v>
      </c>
      <c r="H102" s="2">
        <f t="shared" si="25"/>
        <v>567</v>
      </c>
      <c r="I102" s="2">
        <f aca="true" t="shared" si="26" ref="I102:J116">SUM(K102,M102,Q102,S102,U102)</f>
        <v>889</v>
      </c>
      <c r="J102" s="2">
        <f t="shared" si="26"/>
        <v>530</v>
      </c>
      <c r="K102" s="2">
        <v>20</v>
      </c>
      <c r="L102" s="2">
        <v>15</v>
      </c>
      <c r="M102" s="2">
        <f>46+76</f>
        <v>122</v>
      </c>
      <c r="N102" s="2">
        <v>70</v>
      </c>
      <c r="Q102" s="2">
        <v>212</v>
      </c>
      <c r="R102" s="2">
        <f>58+66</f>
        <v>124</v>
      </c>
      <c r="S102" s="2">
        <v>178</v>
      </c>
      <c r="T102" s="2">
        <v>113</v>
      </c>
      <c r="U102" s="2">
        <f>103+108+85+43+13+4+1</f>
        <v>357</v>
      </c>
      <c r="V102" s="2">
        <f>44+64+59+28+9+3+1</f>
        <v>208</v>
      </c>
      <c r="W102" s="2">
        <v>51</v>
      </c>
      <c r="X102" s="2">
        <v>37</v>
      </c>
      <c r="Y102" s="2">
        <v>735</v>
      </c>
      <c r="Z102" s="2">
        <v>209</v>
      </c>
      <c r="AA102" s="3"/>
      <c r="AB102" s="3"/>
      <c r="AC102" s="3"/>
      <c r="AD102" s="3"/>
    </row>
    <row r="103" spans="1:30" ht="15.75" customHeight="1">
      <c r="A103" s="3"/>
      <c r="B103" s="3"/>
      <c r="C103" s="16" t="s">
        <v>85</v>
      </c>
      <c r="D103" s="3"/>
      <c r="E103" s="12">
        <v>6896</v>
      </c>
      <c r="F103" s="2">
        <v>3239</v>
      </c>
      <c r="G103" s="2">
        <f t="shared" si="25"/>
        <v>4120</v>
      </c>
      <c r="H103" s="2">
        <f t="shared" si="25"/>
        <v>2536</v>
      </c>
      <c r="I103" s="2">
        <f t="shared" si="26"/>
        <v>3897</v>
      </c>
      <c r="J103" s="2">
        <f t="shared" si="26"/>
        <v>2376</v>
      </c>
      <c r="K103" s="2">
        <v>247</v>
      </c>
      <c r="L103" s="2">
        <v>148</v>
      </c>
      <c r="M103" s="2">
        <v>662</v>
      </c>
      <c r="N103" s="2">
        <f>199+223</f>
        <v>422</v>
      </c>
      <c r="Q103" s="2">
        <v>926</v>
      </c>
      <c r="R103" s="2">
        <v>550</v>
      </c>
      <c r="S103" s="2">
        <f>518+454</f>
        <v>972</v>
      </c>
      <c r="T103" s="2">
        <f>293+253</f>
        <v>546</v>
      </c>
      <c r="U103" s="2">
        <f>397+340+217+92+30+12+2</f>
        <v>1090</v>
      </c>
      <c r="V103" s="2">
        <f>246+216+153+66+20+7+2</f>
        <v>710</v>
      </c>
      <c r="W103" s="2">
        <v>223</v>
      </c>
      <c r="X103" s="2">
        <v>160</v>
      </c>
      <c r="Y103" s="2">
        <v>2772</v>
      </c>
      <c r="Z103" s="2">
        <v>702</v>
      </c>
      <c r="AA103" s="3"/>
      <c r="AB103" s="3"/>
      <c r="AC103" s="3"/>
      <c r="AD103" s="3"/>
    </row>
    <row r="104" spans="1:30" ht="15.75" customHeight="1">
      <c r="A104" s="3"/>
      <c r="B104" s="3"/>
      <c r="C104" s="16" t="s">
        <v>86</v>
      </c>
      <c r="D104" s="3"/>
      <c r="E104" s="12">
        <v>3493</v>
      </c>
      <c r="F104" s="2">
        <v>1616</v>
      </c>
      <c r="G104" s="2">
        <f t="shared" si="25"/>
        <v>1958</v>
      </c>
      <c r="H104" s="2">
        <f t="shared" si="25"/>
        <v>1216</v>
      </c>
      <c r="I104" s="2">
        <f t="shared" si="26"/>
        <v>1923</v>
      </c>
      <c r="J104" s="2">
        <f t="shared" si="26"/>
        <v>1188</v>
      </c>
      <c r="K104" s="2">
        <v>46</v>
      </c>
      <c r="L104" s="2">
        <v>30</v>
      </c>
      <c r="M104" s="2">
        <v>198</v>
      </c>
      <c r="N104" s="2">
        <v>120</v>
      </c>
      <c r="Q104" s="2">
        <f>185+264</f>
        <v>449</v>
      </c>
      <c r="R104" s="2">
        <f>109+162</f>
        <v>271</v>
      </c>
      <c r="S104" s="2">
        <f>247+179</f>
        <v>426</v>
      </c>
      <c r="T104" s="2">
        <v>266</v>
      </c>
      <c r="U104" s="2">
        <f>178+250+194+116+51+14+1</f>
        <v>804</v>
      </c>
      <c r="V104" s="2">
        <f>95+157+132+71+36+9+1</f>
        <v>501</v>
      </c>
      <c r="W104" s="2">
        <v>35</v>
      </c>
      <c r="X104" s="2">
        <v>28</v>
      </c>
      <c r="Y104" s="2">
        <v>1534</v>
      </c>
      <c r="Z104" s="2">
        <v>400</v>
      </c>
      <c r="AA104" s="3"/>
      <c r="AB104" s="3"/>
      <c r="AC104" s="3"/>
      <c r="AD104" s="3"/>
    </row>
    <row r="105" spans="1:30" ht="15.75" customHeight="1">
      <c r="A105" s="3"/>
      <c r="B105" s="3"/>
      <c r="C105" s="16" t="s">
        <v>87</v>
      </c>
      <c r="D105" s="3"/>
      <c r="E105" s="12">
        <v>3599</v>
      </c>
      <c r="F105" s="2">
        <v>1587</v>
      </c>
      <c r="G105" s="2">
        <f t="shared" si="25"/>
        <v>1870</v>
      </c>
      <c r="H105" s="2">
        <f t="shared" si="25"/>
        <v>1126</v>
      </c>
      <c r="I105" s="2">
        <f t="shared" si="26"/>
        <v>1805</v>
      </c>
      <c r="J105" s="2">
        <f t="shared" si="26"/>
        <v>1080</v>
      </c>
      <c r="K105" s="2">
        <v>50</v>
      </c>
      <c r="L105" s="2">
        <v>17</v>
      </c>
      <c r="M105" s="2">
        <v>198</v>
      </c>
      <c r="N105" s="2">
        <v>120</v>
      </c>
      <c r="Q105" s="2">
        <f>189+261</f>
        <v>450</v>
      </c>
      <c r="R105" s="2">
        <v>274</v>
      </c>
      <c r="S105" s="2">
        <f>166+215</f>
        <v>381</v>
      </c>
      <c r="T105" s="2">
        <f>143+87</f>
        <v>230</v>
      </c>
      <c r="U105" s="2">
        <f>203+228+165+84+35+10+1</f>
        <v>726</v>
      </c>
      <c r="V105" s="2">
        <f>114+124+110+54+30+6+1</f>
        <v>439</v>
      </c>
      <c r="W105" s="2">
        <v>65</v>
      </c>
      <c r="X105" s="2">
        <v>46</v>
      </c>
      <c r="Y105" s="2">
        <v>1729</v>
      </c>
      <c r="Z105" s="2">
        <v>461</v>
      </c>
      <c r="AA105" s="3"/>
      <c r="AB105" s="3"/>
      <c r="AC105" s="3"/>
      <c r="AD105" s="3"/>
    </row>
    <row r="106" spans="1:30" ht="15.75" customHeight="1">
      <c r="A106" s="3"/>
      <c r="B106" s="3"/>
      <c r="C106" s="16" t="s">
        <v>88</v>
      </c>
      <c r="D106" s="3"/>
      <c r="E106" s="12">
        <v>6635</v>
      </c>
      <c r="F106" s="2">
        <v>3055</v>
      </c>
      <c r="G106" s="2">
        <f t="shared" si="25"/>
        <v>4013</v>
      </c>
      <c r="H106" s="2">
        <f t="shared" si="25"/>
        <v>2257</v>
      </c>
      <c r="I106" s="2">
        <f t="shared" si="26"/>
        <v>3789</v>
      </c>
      <c r="J106" s="2">
        <f t="shared" si="26"/>
        <v>2101</v>
      </c>
      <c r="K106" s="2">
        <f>58+247</f>
        <v>305</v>
      </c>
      <c r="L106" s="2">
        <f>29+128</f>
        <v>157</v>
      </c>
      <c r="M106" s="2">
        <v>655</v>
      </c>
      <c r="N106" s="2">
        <f>169+186</f>
        <v>355</v>
      </c>
      <c r="Q106" s="2">
        <v>923</v>
      </c>
      <c r="R106" s="2">
        <f>240+287</f>
        <v>527</v>
      </c>
      <c r="S106" s="2">
        <f>445+362</f>
        <v>807</v>
      </c>
      <c r="T106" s="2">
        <f>255+186</f>
        <v>441</v>
      </c>
      <c r="U106" s="2">
        <f>366+305+240+118+51+15+4</f>
        <v>1099</v>
      </c>
      <c r="V106" s="2">
        <f>178+179+153+70+28+9+4</f>
        <v>621</v>
      </c>
      <c r="W106" s="2">
        <v>224</v>
      </c>
      <c r="X106" s="2">
        <v>156</v>
      </c>
      <c r="Y106" s="2">
        <v>2617</v>
      </c>
      <c r="Z106" s="2">
        <v>796</v>
      </c>
      <c r="AA106" s="3"/>
      <c r="AB106" s="3"/>
      <c r="AC106" s="3"/>
      <c r="AD106" s="3"/>
    </row>
    <row r="107" spans="1:30" ht="15.75" customHeight="1">
      <c r="A107" s="3"/>
      <c r="B107" s="3"/>
      <c r="C107" s="3"/>
      <c r="D107" s="3"/>
      <c r="E107" s="12"/>
      <c r="AA107" s="3"/>
      <c r="AB107" s="3"/>
      <c r="AC107" s="3"/>
      <c r="AD107" s="3"/>
    </row>
    <row r="108" spans="1:30" ht="15.75" customHeight="1">
      <c r="A108" s="3"/>
      <c r="B108" s="3"/>
      <c r="C108" s="16" t="s">
        <v>89</v>
      </c>
      <c r="D108" s="3"/>
      <c r="E108" s="12">
        <v>2985</v>
      </c>
      <c r="F108" s="2">
        <v>1394</v>
      </c>
      <c r="G108" s="2">
        <f t="shared" si="25"/>
        <v>1750</v>
      </c>
      <c r="H108" s="2">
        <f t="shared" si="25"/>
        <v>1009</v>
      </c>
      <c r="I108" s="2">
        <f t="shared" si="26"/>
        <v>1684</v>
      </c>
      <c r="J108" s="2">
        <f t="shared" si="26"/>
        <v>963</v>
      </c>
      <c r="K108" s="2">
        <v>122</v>
      </c>
      <c r="L108" s="2">
        <v>76</v>
      </c>
      <c r="M108" s="2">
        <v>258</v>
      </c>
      <c r="N108" s="2">
        <v>143</v>
      </c>
      <c r="Q108" s="2">
        <f>182+235</f>
        <v>417</v>
      </c>
      <c r="R108" s="2">
        <f>99+132</f>
        <v>231</v>
      </c>
      <c r="S108" s="2">
        <f>218+165</f>
        <v>383</v>
      </c>
      <c r="T108" s="2">
        <f>120+89</f>
        <v>209</v>
      </c>
      <c r="U108" s="2">
        <f>174+159+93+56+16+6</f>
        <v>504</v>
      </c>
      <c r="V108" s="2">
        <f>88+99+65+37+11+4</f>
        <v>304</v>
      </c>
      <c r="W108" s="2">
        <v>66</v>
      </c>
      <c r="X108" s="2">
        <v>46</v>
      </c>
      <c r="Y108" s="2">
        <v>1235</v>
      </c>
      <c r="Z108" s="2">
        <v>385</v>
      </c>
      <c r="AA108" s="3"/>
      <c r="AB108" s="3"/>
      <c r="AC108" s="3"/>
      <c r="AD108" s="3"/>
    </row>
    <row r="109" spans="1:30" ht="15.75" customHeight="1">
      <c r="A109" s="3"/>
      <c r="B109" s="3"/>
      <c r="C109" s="16" t="s">
        <v>90</v>
      </c>
      <c r="D109" s="3"/>
      <c r="E109" s="12">
        <v>2574</v>
      </c>
      <c r="F109" s="2">
        <v>1208</v>
      </c>
      <c r="G109" s="2">
        <f t="shared" si="25"/>
        <v>1557</v>
      </c>
      <c r="H109" s="2">
        <f t="shared" si="25"/>
        <v>939</v>
      </c>
      <c r="I109" s="2">
        <f t="shared" si="26"/>
        <v>1492</v>
      </c>
      <c r="J109" s="2">
        <f t="shared" si="26"/>
        <v>889</v>
      </c>
      <c r="K109" s="2">
        <v>61</v>
      </c>
      <c r="L109" s="2">
        <v>43</v>
      </c>
      <c r="M109" s="2">
        <f>93+99</f>
        <v>192</v>
      </c>
      <c r="N109" s="2">
        <f>66+68</f>
        <v>134</v>
      </c>
      <c r="Q109" s="2">
        <f>170+177</f>
        <v>347</v>
      </c>
      <c r="R109" s="2">
        <v>204</v>
      </c>
      <c r="S109" s="2">
        <f>179+140</f>
        <v>319</v>
      </c>
      <c r="T109" s="2">
        <v>169</v>
      </c>
      <c r="U109" s="2">
        <f>183+190+115+61+21+2+1</f>
        <v>573</v>
      </c>
      <c r="V109" s="2">
        <f>97+108+78+40+14+1+1</f>
        <v>339</v>
      </c>
      <c r="W109" s="2">
        <v>65</v>
      </c>
      <c r="X109" s="2">
        <v>50</v>
      </c>
      <c r="Y109" s="2">
        <v>1017</v>
      </c>
      <c r="Z109" s="2">
        <v>269</v>
      </c>
      <c r="AA109" s="3"/>
      <c r="AB109" s="3"/>
      <c r="AC109" s="3"/>
      <c r="AD109" s="3"/>
    </row>
    <row r="110" spans="1:30" ht="15.75" customHeight="1">
      <c r="A110" s="3"/>
      <c r="B110" s="3"/>
      <c r="C110" s="16" t="s">
        <v>91</v>
      </c>
      <c r="D110" s="3"/>
      <c r="E110" s="12">
        <v>5419</v>
      </c>
      <c r="F110" s="2">
        <v>2427</v>
      </c>
      <c r="G110" s="2">
        <f t="shared" si="25"/>
        <v>3286</v>
      </c>
      <c r="H110" s="2">
        <f t="shared" si="25"/>
        <v>1791</v>
      </c>
      <c r="I110" s="2">
        <f t="shared" si="26"/>
        <v>3160</v>
      </c>
      <c r="J110" s="2">
        <f t="shared" si="26"/>
        <v>1704</v>
      </c>
      <c r="K110" s="2">
        <f>207+59</f>
        <v>266</v>
      </c>
      <c r="L110" s="2">
        <f>28+93</f>
        <v>121</v>
      </c>
      <c r="M110" s="2">
        <f>208+274</f>
        <v>482</v>
      </c>
      <c r="N110" s="2">
        <v>259</v>
      </c>
      <c r="Q110" s="2">
        <f>326+431</f>
        <v>757</v>
      </c>
      <c r="R110" s="2">
        <f>179+230</f>
        <v>409</v>
      </c>
      <c r="S110" s="2">
        <f>457+313</f>
        <v>770</v>
      </c>
      <c r="T110" s="2">
        <f>244+160</f>
        <v>404</v>
      </c>
      <c r="U110" s="2">
        <f>292+259+178+97+42+16+1</f>
        <v>885</v>
      </c>
      <c r="V110" s="2">
        <f>162+154+103+55+27+9+1</f>
        <v>511</v>
      </c>
      <c r="W110" s="2">
        <v>126</v>
      </c>
      <c r="X110" s="2">
        <v>87</v>
      </c>
      <c r="Y110" s="2">
        <v>2132</v>
      </c>
      <c r="Z110" s="2">
        <v>635</v>
      </c>
      <c r="AA110" s="3"/>
      <c r="AB110" s="3"/>
      <c r="AC110" s="3"/>
      <c r="AD110" s="3"/>
    </row>
    <row r="111" spans="1:30" ht="15.75" customHeight="1">
      <c r="A111" s="3"/>
      <c r="B111" s="3"/>
      <c r="C111" s="16" t="s">
        <v>92</v>
      </c>
      <c r="D111" s="3"/>
      <c r="E111" s="12">
        <v>4760</v>
      </c>
      <c r="F111" s="2">
        <v>2230</v>
      </c>
      <c r="G111" s="2">
        <f t="shared" si="25"/>
        <v>2871</v>
      </c>
      <c r="H111" s="2">
        <f t="shared" si="25"/>
        <v>1609</v>
      </c>
      <c r="I111" s="2">
        <f t="shared" si="26"/>
        <v>2764</v>
      </c>
      <c r="J111" s="2">
        <f t="shared" si="26"/>
        <v>1535</v>
      </c>
      <c r="K111" s="2">
        <f>57+199</f>
        <v>256</v>
      </c>
      <c r="L111" s="2">
        <f>38+117</f>
        <v>155</v>
      </c>
      <c r="M111" s="2">
        <f>193+226</f>
        <v>419</v>
      </c>
      <c r="N111" s="2">
        <v>242</v>
      </c>
      <c r="Q111" s="2">
        <f>295+391</f>
        <v>686</v>
      </c>
      <c r="R111" s="2">
        <v>367</v>
      </c>
      <c r="S111" s="2">
        <f>430+294</f>
        <v>724</v>
      </c>
      <c r="T111" s="2">
        <f>236+145</f>
        <v>381</v>
      </c>
      <c r="U111" s="2">
        <f>254+194+135+67+21+6+2</f>
        <v>679</v>
      </c>
      <c r="V111" s="2">
        <f>137+113+81+41+14+3+1</f>
        <v>390</v>
      </c>
      <c r="W111" s="2">
        <v>107</v>
      </c>
      <c r="X111" s="2">
        <v>74</v>
      </c>
      <c r="Y111" s="2">
        <v>1888</v>
      </c>
      <c r="Z111" s="2">
        <v>621</v>
      </c>
      <c r="AA111" s="3"/>
      <c r="AB111" s="3"/>
      <c r="AC111" s="3"/>
      <c r="AD111" s="3"/>
    </row>
    <row r="112" spans="1:30" ht="15.75" customHeight="1">
      <c r="A112" s="3"/>
      <c r="B112" s="3"/>
      <c r="C112" s="16" t="s">
        <v>93</v>
      </c>
      <c r="D112" s="3"/>
      <c r="E112" s="12">
        <v>5774</v>
      </c>
      <c r="F112" s="2">
        <v>2697</v>
      </c>
      <c r="G112" s="2">
        <f t="shared" si="25"/>
        <v>3565</v>
      </c>
      <c r="H112" s="2">
        <f t="shared" si="25"/>
        <v>2022</v>
      </c>
      <c r="I112" s="2">
        <f t="shared" si="26"/>
        <v>3441</v>
      </c>
      <c r="J112" s="2">
        <f t="shared" si="26"/>
        <v>1956</v>
      </c>
      <c r="K112" s="2">
        <v>448</v>
      </c>
      <c r="L112" s="2">
        <f>76+189</f>
        <v>265</v>
      </c>
      <c r="M112" s="2">
        <f>272+273</f>
        <v>545</v>
      </c>
      <c r="N112" s="2">
        <f>158+155</f>
        <v>313</v>
      </c>
      <c r="Q112" s="2">
        <f>452+494</f>
        <v>946</v>
      </c>
      <c r="R112" s="2">
        <f>261+273</f>
        <v>534</v>
      </c>
      <c r="S112" s="2">
        <v>780</v>
      </c>
      <c r="T112" s="2">
        <f>266+178</f>
        <v>444</v>
      </c>
      <c r="U112" s="2">
        <f>264+215+146+62+22+12+1</f>
        <v>722</v>
      </c>
      <c r="V112" s="2">
        <f>144+112+89+31+16+7+1</f>
        <v>400</v>
      </c>
      <c r="W112" s="2">
        <v>124</v>
      </c>
      <c r="X112" s="2">
        <v>66</v>
      </c>
      <c r="Y112" s="2">
        <v>2207</v>
      </c>
      <c r="Z112" s="2">
        <v>675</v>
      </c>
      <c r="AA112" s="3"/>
      <c r="AB112" s="3"/>
      <c r="AC112" s="3"/>
      <c r="AD112" s="3"/>
    </row>
    <row r="113" spans="1:30" ht="15.75" customHeight="1">
      <c r="A113" s="3"/>
      <c r="B113" s="3"/>
      <c r="C113" s="3"/>
      <c r="D113" s="3"/>
      <c r="E113" s="12"/>
      <c r="AA113" s="3"/>
      <c r="AB113" s="3"/>
      <c r="AC113" s="3"/>
      <c r="AD113" s="3"/>
    </row>
    <row r="114" spans="1:30" ht="15.75" customHeight="1">
      <c r="A114" s="3"/>
      <c r="B114" s="3"/>
      <c r="C114" s="16" t="s">
        <v>94</v>
      </c>
      <c r="D114" s="3"/>
      <c r="E114" s="12">
        <v>10235</v>
      </c>
      <c r="F114" s="2">
        <v>4738</v>
      </c>
      <c r="G114" s="2">
        <f t="shared" si="25"/>
        <v>6400</v>
      </c>
      <c r="H114" s="2">
        <f t="shared" si="25"/>
        <v>3581</v>
      </c>
      <c r="I114" s="2">
        <f t="shared" si="26"/>
        <v>6114</v>
      </c>
      <c r="J114" s="2">
        <f t="shared" si="26"/>
        <v>3388</v>
      </c>
      <c r="K114" s="2">
        <f>127+528</f>
        <v>655</v>
      </c>
      <c r="L114" s="2">
        <v>313</v>
      </c>
      <c r="M114" s="2">
        <f>496+526</f>
        <v>1022</v>
      </c>
      <c r="N114" s="2">
        <v>569</v>
      </c>
      <c r="Q114" s="2">
        <f>731+882</f>
        <v>1613</v>
      </c>
      <c r="R114" s="2">
        <f>407+481</f>
        <v>888</v>
      </c>
      <c r="S114" s="2">
        <f>975+602</f>
        <v>1577</v>
      </c>
      <c r="T114" s="2">
        <f>535+338</f>
        <v>873</v>
      </c>
      <c r="U114" s="2">
        <f>492+336+221+121+56+17+4</f>
        <v>1247</v>
      </c>
      <c r="V114" s="2">
        <f>273+203+146+66+41+12+4</f>
        <v>745</v>
      </c>
      <c r="W114" s="2">
        <v>286</v>
      </c>
      <c r="X114" s="2">
        <v>193</v>
      </c>
      <c r="Y114" s="2">
        <v>3832</v>
      </c>
      <c r="Z114" s="2">
        <v>1155</v>
      </c>
      <c r="AA114" s="3"/>
      <c r="AB114" s="3"/>
      <c r="AC114" s="3"/>
      <c r="AD114" s="3"/>
    </row>
    <row r="115" spans="1:30" ht="15.75" customHeight="1">
      <c r="A115" s="3"/>
      <c r="B115" s="3"/>
      <c r="C115" s="16" t="s">
        <v>95</v>
      </c>
      <c r="D115" s="3"/>
      <c r="E115" s="12">
        <v>4843</v>
      </c>
      <c r="F115" s="2">
        <v>2163</v>
      </c>
      <c r="G115" s="2">
        <f t="shared" si="25"/>
        <v>2936</v>
      </c>
      <c r="H115" s="2">
        <f t="shared" si="25"/>
        <v>1600</v>
      </c>
      <c r="I115" s="2">
        <f t="shared" si="26"/>
        <v>2786</v>
      </c>
      <c r="J115" s="2">
        <f t="shared" si="26"/>
        <v>1510</v>
      </c>
      <c r="K115" s="2">
        <v>296</v>
      </c>
      <c r="L115" s="2">
        <v>160</v>
      </c>
      <c r="M115" s="2">
        <f>196+229</f>
        <v>425</v>
      </c>
      <c r="N115" s="2">
        <v>232</v>
      </c>
      <c r="Q115" s="2">
        <f>321+446</f>
        <v>767</v>
      </c>
      <c r="R115" s="2">
        <f>171+254</f>
        <v>425</v>
      </c>
      <c r="S115" s="2">
        <v>654</v>
      </c>
      <c r="T115" s="2">
        <f>212+127</f>
        <v>339</v>
      </c>
      <c r="U115" s="2">
        <f>205+172+151+66+39+9+2</f>
        <v>644</v>
      </c>
      <c r="V115" s="2">
        <f>110+90+80+45+24+5</f>
        <v>354</v>
      </c>
      <c r="W115" s="2">
        <v>150</v>
      </c>
      <c r="X115" s="2">
        <v>90</v>
      </c>
      <c r="Y115" s="2">
        <v>1904</v>
      </c>
      <c r="Z115" s="2">
        <v>562</v>
      </c>
      <c r="AA115" s="3"/>
      <c r="AB115" s="3"/>
      <c r="AC115" s="3"/>
      <c r="AD115" s="3"/>
    </row>
    <row r="116" spans="1:30" ht="15.75" customHeight="1">
      <c r="A116" s="3"/>
      <c r="B116" s="3"/>
      <c r="C116" s="16" t="s">
        <v>96</v>
      </c>
      <c r="D116" s="3"/>
      <c r="E116" s="12">
        <v>3816</v>
      </c>
      <c r="F116" s="2">
        <v>1751</v>
      </c>
      <c r="G116" s="2">
        <f t="shared" si="25"/>
        <v>2219</v>
      </c>
      <c r="H116" s="2">
        <f t="shared" si="25"/>
        <v>1228</v>
      </c>
      <c r="I116" s="2">
        <f t="shared" si="26"/>
        <v>2121</v>
      </c>
      <c r="J116" s="2">
        <f t="shared" si="26"/>
        <v>1169</v>
      </c>
      <c r="K116" s="2">
        <v>197</v>
      </c>
      <c r="L116" s="2">
        <f>19+76</f>
        <v>95</v>
      </c>
      <c r="M116" s="2">
        <v>302</v>
      </c>
      <c r="N116" s="2">
        <v>166</v>
      </c>
      <c r="Q116" s="2">
        <f>179+268</f>
        <v>447</v>
      </c>
      <c r="R116" s="2">
        <v>239</v>
      </c>
      <c r="S116" s="2">
        <f>334+229</f>
        <v>563</v>
      </c>
      <c r="T116" s="2">
        <f>186+117</f>
        <v>303</v>
      </c>
      <c r="U116" s="2">
        <f>360+126+78+33+15</f>
        <v>612</v>
      </c>
      <c r="V116" s="2">
        <f>118+98+70+53+18+9</f>
        <v>366</v>
      </c>
      <c r="W116" s="2">
        <v>98</v>
      </c>
      <c r="X116" s="2">
        <v>59</v>
      </c>
      <c r="Y116" s="2">
        <v>1595</v>
      </c>
      <c r="Z116" s="2">
        <v>523</v>
      </c>
      <c r="AA116" s="3"/>
      <c r="AB116" s="3"/>
      <c r="AC116" s="3"/>
      <c r="AD116" s="3"/>
    </row>
    <row r="117" spans="1:30" ht="15.75" customHeight="1">
      <c r="A117" s="3"/>
      <c r="B117" s="3"/>
      <c r="C117" s="3"/>
      <c r="D117" s="3"/>
      <c r="E117" s="12"/>
      <c r="AA117" s="3"/>
      <c r="AB117" s="3"/>
      <c r="AC117" s="3"/>
      <c r="AD117" s="3"/>
    </row>
    <row r="118" spans="1:30" ht="15.75" customHeight="1">
      <c r="A118" s="3"/>
      <c r="B118" s="3"/>
      <c r="C118" s="3"/>
      <c r="D118" s="3"/>
      <c r="E118" s="12"/>
      <c r="AA118" s="3"/>
      <c r="AB118" s="3"/>
      <c r="AC118" s="3"/>
      <c r="AD118" s="3"/>
    </row>
    <row r="119" spans="1:30" ht="15.75" customHeight="1">
      <c r="A119" s="3"/>
      <c r="B119" s="3"/>
      <c r="C119" s="13" t="s">
        <v>97</v>
      </c>
      <c r="D119" s="3"/>
      <c r="E119" s="12">
        <f>SUM(E121:E131)</f>
        <v>42484</v>
      </c>
      <c r="F119" s="6">
        <f>SUM(F121:F131)</f>
        <v>19553</v>
      </c>
      <c r="G119" s="6">
        <f aca="true" t="shared" si="27" ref="G119:N119">SUM(G121:G131)</f>
        <v>22214</v>
      </c>
      <c r="H119" s="6">
        <f t="shared" si="27"/>
        <v>14006</v>
      </c>
      <c r="I119" s="6">
        <f t="shared" si="27"/>
        <v>21208</v>
      </c>
      <c r="J119" s="6">
        <f t="shared" si="27"/>
        <v>13237</v>
      </c>
      <c r="K119" s="6">
        <f>SUM(K121:K131)</f>
        <v>1393</v>
      </c>
      <c r="L119" s="6">
        <f t="shared" si="27"/>
        <v>786</v>
      </c>
      <c r="M119" s="6">
        <f t="shared" si="27"/>
        <v>3451</v>
      </c>
      <c r="N119" s="6">
        <f t="shared" si="27"/>
        <v>2187</v>
      </c>
      <c r="Q119" s="6">
        <f aca="true" t="shared" si="28" ref="Q119:Z119">SUM(Q121:Q131)</f>
        <v>5586</v>
      </c>
      <c r="R119" s="6">
        <f t="shared" si="28"/>
        <v>3474</v>
      </c>
      <c r="S119" s="6">
        <f t="shared" si="28"/>
        <v>4700</v>
      </c>
      <c r="T119" s="6">
        <f t="shared" si="28"/>
        <v>2823</v>
      </c>
      <c r="U119" s="6">
        <f t="shared" si="28"/>
        <v>6078</v>
      </c>
      <c r="V119" s="6">
        <f t="shared" si="28"/>
        <v>3967</v>
      </c>
      <c r="W119" s="6">
        <f t="shared" si="28"/>
        <v>1006</v>
      </c>
      <c r="X119" s="6">
        <f t="shared" si="28"/>
        <v>769</v>
      </c>
      <c r="Y119" s="6">
        <f t="shared" si="28"/>
        <v>20265</v>
      </c>
      <c r="Z119" s="6">
        <f t="shared" si="28"/>
        <v>5547</v>
      </c>
      <c r="AA119" s="3"/>
      <c r="AB119" s="3"/>
      <c r="AC119" s="3"/>
      <c r="AD119" s="3"/>
    </row>
    <row r="120" spans="1:30" ht="15.75" customHeight="1">
      <c r="A120" s="3"/>
      <c r="B120" s="3"/>
      <c r="C120" s="3"/>
      <c r="D120" s="3"/>
      <c r="E120" s="12"/>
      <c r="AA120" s="3"/>
      <c r="AB120" s="3"/>
      <c r="AC120" s="3"/>
      <c r="AD120" s="3"/>
    </row>
    <row r="121" spans="1:30" ht="15.75" customHeight="1">
      <c r="A121" s="3"/>
      <c r="B121" s="3"/>
      <c r="C121" s="16" t="s">
        <v>98</v>
      </c>
      <c r="D121" s="3"/>
      <c r="E121" s="12">
        <v>5601</v>
      </c>
      <c r="F121" s="2">
        <v>2461</v>
      </c>
      <c r="G121" s="2">
        <f aca="true" t="shared" si="29" ref="G121:H131">I121+W121</f>
        <v>2670</v>
      </c>
      <c r="H121" s="2">
        <f t="shared" si="29"/>
        <v>1626</v>
      </c>
      <c r="I121" s="2">
        <f aca="true" t="shared" si="30" ref="I121:J131">SUM(K121,M121,Q121,S121,U121)</f>
        <v>2530</v>
      </c>
      <c r="J121" s="2">
        <f t="shared" si="30"/>
        <v>1520</v>
      </c>
      <c r="K121" s="2">
        <v>137</v>
      </c>
      <c r="L121" s="2">
        <v>63</v>
      </c>
      <c r="M121" s="2">
        <f>156+196</f>
        <v>352</v>
      </c>
      <c r="N121" s="2">
        <v>199</v>
      </c>
      <c r="Q121" s="2">
        <f>325+409</f>
        <v>734</v>
      </c>
      <c r="R121" s="2">
        <f>189+243</f>
        <v>432</v>
      </c>
      <c r="S121" s="2">
        <f>362+214</f>
        <v>576</v>
      </c>
      <c r="T121" s="2">
        <v>330</v>
      </c>
      <c r="U121" s="2">
        <f>248+252+140+55+25+8+3</f>
        <v>731</v>
      </c>
      <c r="V121" s="2">
        <f>159+166+105+42+14+10</f>
        <v>496</v>
      </c>
      <c r="W121" s="2">
        <v>140</v>
      </c>
      <c r="X121" s="2">
        <v>106</v>
      </c>
      <c r="Y121" s="2">
        <v>2931</v>
      </c>
      <c r="Z121" s="2">
        <v>835</v>
      </c>
      <c r="AA121" s="3"/>
      <c r="AB121" s="3"/>
      <c r="AC121" s="3"/>
      <c r="AD121" s="3"/>
    </row>
    <row r="122" spans="1:30" ht="15.75" customHeight="1">
      <c r="A122" s="3"/>
      <c r="B122" s="3"/>
      <c r="C122" s="16" t="s">
        <v>99</v>
      </c>
      <c r="D122" s="3"/>
      <c r="E122" s="12">
        <v>2008</v>
      </c>
      <c r="F122" s="2">
        <v>900</v>
      </c>
      <c r="G122" s="2">
        <f t="shared" si="29"/>
        <v>993</v>
      </c>
      <c r="H122" s="2">
        <f t="shared" si="29"/>
        <v>591</v>
      </c>
      <c r="I122" s="2">
        <f t="shared" si="30"/>
        <v>942</v>
      </c>
      <c r="J122" s="2">
        <f t="shared" si="30"/>
        <v>550</v>
      </c>
      <c r="K122" s="2">
        <v>47</v>
      </c>
      <c r="L122" s="2">
        <v>29</v>
      </c>
      <c r="M122" s="2">
        <v>136</v>
      </c>
      <c r="N122" s="2">
        <v>89</v>
      </c>
      <c r="Q122" s="2">
        <v>194</v>
      </c>
      <c r="R122" s="2">
        <v>111</v>
      </c>
      <c r="S122" s="2">
        <f>137+91</f>
        <v>228</v>
      </c>
      <c r="T122" s="2">
        <v>119</v>
      </c>
      <c r="U122" s="2">
        <f>119+98+73+27+12+8</f>
        <v>337</v>
      </c>
      <c r="V122" s="2">
        <f>66+49+56+19+12</f>
        <v>202</v>
      </c>
      <c r="W122" s="2">
        <v>51</v>
      </c>
      <c r="X122" s="2">
        <v>41</v>
      </c>
      <c r="Y122" s="2">
        <v>1014</v>
      </c>
      <c r="Z122" s="2">
        <v>309</v>
      </c>
      <c r="AA122" s="3"/>
      <c r="AB122" s="3"/>
      <c r="AC122" s="3"/>
      <c r="AD122" s="3"/>
    </row>
    <row r="123" spans="1:30" ht="15.75" customHeight="1">
      <c r="A123" s="3"/>
      <c r="B123" s="3"/>
      <c r="C123" s="16" t="s">
        <v>100</v>
      </c>
      <c r="D123" s="3"/>
      <c r="E123" s="12">
        <v>3441</v>
      </c>
      <c r="F123" s="2">
        <v>1607</v>
      </c>
      <c r="G123" s="2">
        <f t="shared" si="29"/>
        <v>1891</v>
      </c>
      <c r="H123" s="2">
        <f t="shared" si="29"/>
        <v>1199</v>
      </c>
      <c r="I123" s="2">
        <f t="shared" si="30"/>
        <v>1826</v>
      </c>
      <c r="J123" s="2">
        <f t="shared" si="30"/>
        <v>1153</v>
      </c>
      <c r="K123" s="2">
        <f>128+18</f>
        <v>146</v>
      </c>
      <c r="L123" s="2">
        <v>89</v>
      </c>
      <c r="M123" s="2">
        <f>131+165</f>
        <v>296</v>
      </c>
      <c r="N123" s="2">
        <v>197</v>
      </c>
      <c r="Q123" s="2">
        <f>234+218</f>
        <v>452</v>
      </c>
      <c r="R123" s="2">
        <f>145+136</f>
        <v>281</v>
      </c>
      <c r="S123" s="2">
        <f>194+159</f>
        <v>353</v>
      </c>
      <c r="T123" s="2">
        <f>124+92</f>
        <v>216</v>
      </c>
      <c r="U123" s="2">
        <f>199+176+121+62+17+4</f>
        <v>579</v>
      </c>
      <c r="V123" s="2">
        <f>109+114+80+49+8+10</f>
        <v>370</v>
      </c>
      <c r="W123" s="2">
        <v>65</v>
      </c>
      <c r="X123" s="2">
        <v>46</v>
      </c>
      <c r="Y123" s="2">
        <v>1550</v>
      </c>
      <c r="Z123" s="2">
        <v>408</v>
      </c>
      <c r="AA123" s="3"/>
      <c r="AB123" s="3"/>
      <c r="AC123" s="3"/>
      <c r="AD123" s="3"/>
    </row>
    <row r="124" spans="1:30" ht="15.75" customHeight="1">
      <c r="A124" s="3"/>
      <c r="B124" s="3"/>
      <c r="C124" s="16" t="s">
        <v>101</v>
      </c>
      <c r="D124" s="3"/>
      <c r="E124" s="12">
        <v>3663</v>
      </c>
      <c r="F124" s="2">
        <v>1635</v>
      </c>
      <c r="G124" s="2">
        <f t="shared" si="29"/>
        <v>1956</v>
      </c>
      <c r="H124" s="2">
        <f t="shared" si="29"/>
        <v>1142</v>
      </c>
      <c r="I124" s="2">
        <f t="shared" si="30"/>
        <v>1900</v>
      </c>
      <c r="J124" s="2">
        <f t="shared" si="30"/>
        <v>1098</v>
      </c>
      <c r="K124" s="2">
        <v>130</v>
      </c>
      <c r="L124" s="2">
        <v>67</v>
      </c>
      <c r="M124" s="2">
        <v>242</v>
      </c>
      <c r="N124" s="2">
        <f>58+95</f>
        <v>153</v>
      </c>
      <c r="Q124" s="2">
        <v>473</v>
      </c>
      <c r="R124" s="2">
        <v>258</v>
      </c>
      <c r="S124" s="2">
        <v>400</v>
      </c>
      <c r="T124" s="2">
        <v>221</v>
      </c>
      <c r="U124" s="2">
        <f>228+211+134+53+23+6</f>
        <v>655</v>
      </c>
      <c r="V124" s="2">
        <f>127+130+90+33+14+5</f>
        <v>399</v>
      </c>
      <c r="W124" s="2">
        <v>56</v>
      </c>
      <c r="X124" s="2">
        <v>44</v>
      </c>
      <c r="Y124" s="2">
        <v>1707</v>
      </c>
      <c r="Z124" s="2">
        <v>493</v>
      </c>
      <c r="AA124" s="3"/>
      <c r="AB124" s="3"/>
      <c r="AC124" s="3"/>
      <c r="AD124" s="3"/>
    </row>
    <row r="125" spans="1:30" ht="15.75" customHeight="1">
      <c r="A125" s="3"/>
      <c r="B125" s="3"/>
      <c r="C125" s="16" t="s">
        <v>102</v>
      </c>
      <c r="D125" s="3"/>
      <c r="E125" s="12">
        <v>3615</v>
      </c>
      <c r="F125" s="2">
        <v>1707</v>
      </c>
      <c r="G125" s="2">
        <f t="shared" si="29"/>
        <v>1908</v>
      </c>
      <c r="H125" s="2">
        <f t="shared" si="29"/>
        <v>1243</v>
      </c>
      <c r="I125" s="2">
        <f t="shared" si="30"/>
        <v>1819</v>
      </c>
      <c r="J125" s="2">
        <f t="shared" si="30"/>
        <v>1173</v>
      </c>
      <c r="K125" s="2">
        <v>65</v>
      </c>
      <c r="L125" s="2">
        <v>44</v>
      </c>
      <c r="M125" s="2">
        <v>272</v>
      </c>
      <c r="N125" s="2">
        <v>172</v>
      </c>
      <c r="Q125" s="2">
        <f>272+262</f>
        <v>534</v>
      </c>
      <c r="R125" s="2">
        <v>333</v>
      </c>
      <c r="S125" s="2">
        <v>390</v>
      </c>
      <c r="T125" s="2">
        <v>246</v>
      </c>
      <c r="U125" s="2">
        <f>175+169+129+58+27</f>
        <v>558</v>
      </c>
      <c r="V125" s="2">
        <f>103+118+95+45+16+1</f>
        <v>378</v>
      </c>
      <c r="W125" s="2">
        <v>89</v>
      </c>
      <c r="X125" s="2">
        <v>70</v>
      </c>
      <c r="Y125" s="2">
        <v>1707</v>
      </c>
      <c r="Z125" s="2">
        <v>464</v>
      </c>
      <c r="AA125" s="3"/>
      <c r="AB125" s="3"/>
      <c r="AC125" s="3"/>
      <c r="AD125" s="3"/>
    </row>
    <row r="126" spans="1:30" ht="15.75" customHeight="1">
      <c r="A126" s="3"/>
      <c r="B126" s="3"/>
      <c r="D126" s="3"/>
      <c r="E126" s="12"/>
      <c r="AA126" s="3"/>
      <c r="AB126" s="3"/>
      <c r="AC126" s="3"/>
      <c r="AD126" s="3"/>
    </row>
    <row r="127" spans="1:30" ht="15.75" customHeight="1">
      <c r="A127" s="3"/>
      <c r="B127" s="3"/>
      <c r="C127" s="16" t="s">
        <v>103</v>
      </c>
      <c r="D127" s="3"/>
      <c r="E127" s="12">
        <v>3873</v>
      </c>
      <c r="F127" s="2">
        <v>1862</v>
      </c>
      <c r="G127" s="2">
        <f t="shared" si="29"/>
        <v>2025</v>
      </c>
      <c r="H127" s="2">
        <f t="shared" si="29"/>
        <v>1316</v>
      </c>
      <c r="I127" s="2">
        <f t="shared" si="30"/>
        <v>1936</v>
      </c>
      <c r="J127" s="2">
        <f t="shared" si="30"/>
        <v>1245</v>
      </c>
      <c r="K127" s="2">
        <v>88</v>
      </c>
      <c r="L127" s="2">
        <v>58</v>
      </c>
      <c r="M127" s="2">
        <v>296</v>
      </c>
      <c r="N127" s="2">
        <v>200</v>
      </c>
      <c r="Q127" s="2">
        <v>531</v>
      </c>
      <c r="R127" s="2">
        <f>146+198</f>
        <v>344</v>
      </c>
      <c r="S127" s="2">
        <f>237+193</f>
        <v>430</v>
      </c>
      <c r="T127" s="2">
        <v>263</v>
      </c>
      <c r="U127" s="2">
        <f>224+179+101+51+27+9</f>
        <v>591</v>
      </c>
      <c r="V127" s="2">
        <f>128+121+73+35+15+8</f>
        <v>380</v>
      </c>
      <c r="W127" s="2">
        <v>89</v>
      </c>
      <c r="X127" s="2">
        <v>71</v>
      </c>
      <c r="Y127" s="2">
        <v>1848</v>
      </c>
      <c r="Z127" s="2">
        <v>546</v>
      </c>
      <c r="AA127" s="3"/>
      <c r="AB127" s="3"/>
      <c r="AC127" s="3"/>
      <c r="AD127" s="3"/>
    </row>
    <row r="128" spans="1:30" ht="15.75" customHeight="1">
      <c r="A128" s="3"/>
      <c r="B128" s="3"/>
      <c r="C128" s="16" t="s">
        <v>104</v>
      </c>
      <c r="D128" s="3"/>
      <c r="E128" s="12">
        <v>6446</v>
      </c>
      <c r="F128" s="2">
        <v>3030</v>
      </c>
      <c r="G128" s="2">
        <f t="shared" si="29"/>
        <v>3470</v>
      </c>
      <c r="H128" s="2">
        <f t="shared" si="29"/>
        <v>2252</v>
      </c>
      <c r="I128" s="2">
        <f t="shared" si="30"/>
        <v>3315</v>
      </c>
      <c r="J128" s="2">
        <f t="shared" si="30"/>
        <v>2139</v>
      </c>
      <c r="K128" s="2">
        <v>240</v>
      </c>
      <c r="L128" s="2">
        <v>124</v>
      </c>
      <c r="M128" s="2">
        <f>308+372</f>
        <v>680</v>
      </c>
      <c r="N128" s="2">
        <f>185+247</f>
        <v>432</v>
      </c>
      <c r="Q128" s="2">
        <f>435+461</f>
        <v>896</v>
      </c>
      <c r="R128" s="2">
        <v>592</v>
      </c>
      <c r="S128" s="2">
        <f>411+326</f>
        <v>737</v>
      </c>
      <c r="T128" s="2">
        <v>477</v>
      </c>
      <c r="U128" s="2">
        <f>335+186+126+70+35+10</f>
        <v>762</v>
      </c>
      <c r="V128" s="2">
        <f>235+127+87+43+18+4</f>
        <v>514</v>
      </c>
      <c r="W128" s="2">
        <v>155</v>
      </c>
      <c r="X128" s="2">
        <v>113</v>
      </c>
      <c r="Y128" s="2">
        <v>2974</v>
      </c>
      <c r="Z128" s="2">
        <v>778</v>
      </c>
      <c r="AA128" s="3"/>
      <c r="AB128" s="3"/>
      <c r="AC128" s="3"/>
      <c r="AD128" s="3"/>
    </row>
    <row r="129" spans="1:30" ht="15.75" customHeight="1">
      <c r="A129" s="3"/>
      <c r="B129" s="3"/>
      <c r="C129" s="16" t="s">
        <v>105</v>
      </c>
      <c r="D129" s="3"/>
      <c r="E129" s="12">
        <v>4299</v>
      </c>
      <c r="F129" s="2">
        <v>1973</v>
      </c>
      <c r="G129" s="2">
        <f t="shared" si="29"/>
        <v>2151</v>
      </c>
      <c r="H129" s="2">
        <f t="shared" si="29"/>
        <v>1404</v>
      </c>
      <c r="I129" s="2">
        <f t="shared" si="30"/>
        <v>2052</v>
      </c>
      <c r="J129" s="2">
        <f t="shared" si="30"/>
        <v>1331</v>
      </c>
      <c r="K129" s="2">
        <v>179</v>
      </c>
      <c r="L129" s="2">
        <v>98</v>
      </c>
      <c r="M129" s="2">
        <f>186+176</f>
        <v>362</v>
      </c>
      <c r="N129" s="2">
        <v>252</v>
      </c>
      <c r="Q129" s="2">
        <v>503</v>
      </c>
      <c r="R129" s="2">
        <f>165+157</f>
        <v>322</v>
      </c>
      <c r="S129" s="2">
        <f>249+224</f>
        <v>473</v>
      </c>
      <c r="T129" s="2">
        <v>297</v>
      </c>
      <c r="U129" s="2">
        <f>194+170+109+34+21+7</f>
        <v>535</v>
      </c>
      <c r="V129" s="2">
        <f>127+113+83+21+14+4</f>
        <v>362</v>
      </c>
      <c r="W129" s="2">
        <v>99</v>
      </c>
      <c r="X129" s="2">
        <v>73</v>
      </c>
      <c r="Y129" s="2">
        <v>2148</v>
      </c>
      <c r="Z129" s="2">
        <v>569</v>
      </c>
      <c r="AA129" s="3"/>
      <c r="AB129" s="3"/>
      <c r="AC129" s="3"/>
      <c r="AD129" s="3"/>
    </row>
    <row r="130" spans="1:30" ht="15.75" customHeight="1">
      <c r="A130" s="3"/>
      <c r="B130" s="3"/>
      <c r="C130" s="16" t="s">
        <v>106</v>
      </c>
      <c r="D130" s="3"/>
      <c r="E130" s="12">
        <v>6408</v>
      </c>
      <c r="F130" s="2">
        <v>2931</v>
      </c>
      <c r="G130" s="2">
        <f t="shared" si="29"/>
        <v>3541</v>
      </c>
      <c r="H130" s="2">
        <f t="shared" si="29"/>
        <v>2213</v>
      </c>
      <c r="I130" s="2">
        <f t="shared" si="30"/>
        <v>3358</v>
      </c>
      <c r="J130" s="2">
        <f t="shared" si="30"/>
        <v>2071</v>
      </c>
      <c r="K130" s="2">
        <v>253</v>
      </c>
      <c r="L130" s="2">
        <v>143</v>
      </c>
      <c r="M130" s="2">
        <f>267+343</f>
        <v>610</v>
      </c>
      <c r="N130" s="2">
        <v>367</v>
      </c>
      <c r="Q130" s="2">
        <f>428+463</f>
        <v>891</v>
      </c>
      <c r="R130" s="2">
        <f>263+294</f>
        <v>557</v>
      </c>
      <c r="S130" s="2">
        <v>728</v>
      </c>
      <c r="T130" s="2">
        <f>227+197</f>
        <v>424</v>
      </c>
      <c r="U130" s="2">
        <f>350+272+155+71+18+10</f>
        <v>876</v>
      </c>
      <c r="V130" s="2">
        <f>229+179+104+51+11+3+3</f>
        <v>580</v>
      </c>
      <c r="W130" s="2">
        <v>183</v>
      </c>
      <c r="X130" s="2">
        <v>142</v>
      </c>
      <c r="Y130" s="2">
        <v>2867</v>
      </c>
      <c r="Z130" s="2">
        <v>718</v>
      </c>
      <c r="AA130" s="3"/>
      <c r="AB130" s="3"/>
      <c r="AC130" s="3"/>
      <c r="AD130" s="3"/>
    </row>
    <row r="131" spans="1:30" ht="15.75" customHeight="1">
      <c r="A131" s="3"/>
      <c r="B131" s="3"/>
      <c r="C131" s="16" t="s">
        <v>107</v>
      </c>
      <c r="D131" s="3"/>
      <c r="E131" s="12">
        <v>3130</v>
      </c>
      <c r="F131" s="2">
        <v>1447</v>
      </c>
      <c r="G131" s="2">
        <f t="shared" si="29"/>
        <v>1609</v>
      </c>
      <c r="H131" s="2">
        <f t="shared" si="29"/>
        <v>1020</v>
      </c>
      <c r="I131" s="2">
        <f t="shared" si="30"/>
        <v>1530</v>
      </c>
      <c r="J131" s="2">
        <f t="shared" si="30"/>
        <v>957</v>
      </c>
      <c r="K131" s="2">
        <v>108</v>
      </c>
      <c r="L131" s="2">
        <v>71</v>
      </c>
      <c r="M131" s="2">
        <v>205</v>
      </c>
      <c r="N131" s="2">
        <v>126</v>
      </c>
      <c r="Q131" s="2">
        <f>186+192</f>
        <v>378</v>
      </c>
      <c r="R131" s="2">
        <v>244</v>
      </c>
      <c r="S131" s="2">
        <f>212+173</f>
        <v>385</v>
      </c>
      <c r="T131" s="2">
        <v>230</v>
      </c>
      <c r="U131" s="2">
        <f>149+128+101+47+21+5+3</f>
        <v>454</v>
      </c>
      <c r="V131" s="2">
        <f>88+79+71+29+12+7</f>
        <v>286</v>
      </c>
      <c r="W131" s="2">
        <v>79</v>
      </c>
      <c r="X131" s="2">
        <v>63</v>
      </c>
      <c r="Y131" s="2">
        <v>1519</v>
      </c>
      <c r="Z131" s="2">
        <v>427</v>
      </c>
      <c r="AA131" s="3"/>
      <c r="AB131" s="3"/>
      <c r="AC131" s="3"/>
      <c r="AD131" s="3"/>
    </row>
    <row r="132" spans="1:30" ht="15.75" customHeight="1">
      <c r="A132" s="3"/>
      <c r="B132" s="3"/>
      <c r="C132" s="3"/>
      <c r="D132" s="3"/>
      <c r="E132" s="12"/>
      <c r="AA132" s="3"/>
      <c r="AB132" s="3"/>
      <c r="AC132" s="3"/>
      <c r="AD132" s="3"/>
    </row>
    <row r="133" spans="1:30" ht="15.75" customHeight="1">
      <c r="A133" s="3"/>
      <c r="B133" s="3"/>
      <c r="C133" s="3"/>
      <c r="D133" s="3"/>
      <c r="E133" s="12"/>
      <c r="AA133" s="3"/>
      <c r="AB133" s="3"/>
      <c r="AC133" s="3"/>
      <c r="AD133" s="3"/>
    </row>
    <row r="134" spans="1:30" ht="15.75" customHeight="1">
      <c r="A134" s="3"/>
      <c r="B134" s="3"/>
      <c r="C134" s="13" t="s">
        <v>108</v>
      </c>
      <c r="D134" s="3"/>
      <c r="E134" s="12">
        <f>SUM(E136:E139)</f>
        <v>28457</v>
      </c>
      <c r="F134" s="6">
        <f>SUM(F136:F139)</f>
        <v>13289</v>
      </c>
      <c r="G134" s="6">
        <f aca="true" t="shared" si="31" ref="G134:N134">SUM(G136:G139)</f>
        <v>17738</v>
      </c>
      <c r="H134" s="6">
        <f t="shared" si="31"/>
        <v>10328</v>
      </c>
      <c r="I134" s="6">
        <f t="shared" si="31"/>
        <v>17237</v>
      </c>
      <c r="J134" s="6">
        <f t="shared" si="31"/>
        <v>9979</v>
      </c>
      <c r="K134" s="6">
        <f t="shared" si="31"/>
        <v>1118</v>
      </c>
      <c r="L134" s="6">
        <f t="shared" si="31"/>
        <v>640</v>
      </c>
      <c r="M134" s="6">
        <f t="shared" si="31"/>
        <v>2374</v>
      </c>
      <c r="N134" s="6">
        <f t="shared" si="31"/>
        <v>1403</v>
      </c>
      <c r="Q134" s="6">
        <f aca="true" t="shared" si="32" ref="Q134:Z134">SUM(Q136:Q139)</f>
        <v>3812</v>
      </c>
      <c r="R134" s="6">
        <f t="shared" si="32"/>
        <v>2179</v>
      </c>
      <c r="S134" s="6">
        <f t="shared" si="32"/>
        <v>3889</v>
      </c>
      <c r="T134" s="6">
        <f t="shared" si="32"/>
        <v>2169</v>
      </c>
      <c r="U134" s="6">
        <f t="shared" si="32"/>
        <v>6044</v>
      </c>
      <c r="V134" s="6">
        <f t="shared" si="32"/>
        <v>3588</v>
      </c>
      <c r="W134" s="6">
        <f t="shared" si="32"/>
        <v>501</v>
      </c>
      <c r="X134" s="6">
        <f t="shared" si="32"/>
        <v>349</v>
      </c>
      <c r="Y134" s="6">
        <f t="shared" si="32"/>
        <v>10703</v>
      </c>
      <c r="Z134" s="6">
        <f t="shared" si="32"/>
        <v>2956</v>
      </c>
      <c r="AA134" s="3"/>
      <c r="AB134" s="3"/>
      <c r="AC134" s="3"/>
      <c r="AD134" s="3"/>
    </row>
    <row r="135" spans="1:30" ht="15.75" customHeight="1">
      <c r="A135" s="3"/>
      <c r="B135" s="3"/>
      <c r="C135" s="13"/>
      <c r="D135" s="3"/>
      <c r="E135" s="12"/>
      <c r="AA135" s="3"/>
      <c r="AB135" s="3"/>
      <c r="AC135" s="3"/>
      <c r="AD135" s="3"/>
    </row>
    <row r="136" spans="1:30" ht="15.75" customHeight="1">
      <c r="A136" s="3"/>
      <c r="B136" s="3"/>
      <c r="C136" s="16" t="s">
        <v>109</v>
      </c>
      <c r="D136" s="3"/>
      <c r="E136" s="12">
        <v>10528</v>
      </c>
      <c r="F136" s="2">
        <v>4933</v>
      </c>
      <c r="G136" s="2">
        <f aca="true" t="shared" si="33" ref="G136:H139">I136+W136</f>
        <v>6513</v>
      </c>
      <c r="H136" s="2">
        <f t="shared" si="33"/>
        <v>3765</v>
      </c>
      <c r="I136" s="2">
        <f aca="true" t="shared" si="34" ref="I136:J139">SUM(K136,M136,Q136,S136,U136)</f>
        <v>6308</v>
      </c>
      <c r="J136" s="2">
        <f t="shared" si="34"/>
        <v>3616</v>
      </c>
      <c r="K136" s="2">
        <v>366</v>
      </c>
      <c r="L136" s="2">
        <v>195</v>
      </c>
      <c r="M136" s="2">
        <f>437+553</f>
        <v>990</v>
      </c>
      <c r="N136" s="2">
        <v>588</v>
      </c>
      <c r="Q136" s="2">
        <f>657+745</f>
        <v>1402</v>
      </c>
      <c r="R136" s="2">
        <f>392+414</f>
        <v>806</v>
      </c>
      <c r="S136" s="2">
        <f>869+615</f>
        <v>1484</v>
      </c>
      <c r="T136" s="2">
        <f>486+330</f>
        <v>816</v>
      </c>
      <c r="U136" s="2">
        <f>583+571+479+293+89+40+11</f>
        <v>2066</v>
      </c>
      <c r="V136" s="2">
        <f>330+331+281+179+58+24+8</f>
        <v>1211</v>
      </c>
      <c r="W136" s="2">
        <v>205</v>
      </c>
      <c r="X136" s="2">
        <v>149</v>
      </c>
      <c r="Y136" s="2">
        <v>4009</v>
      </c>
      <c r="Z136" s="2">
        <v>1166</v>
      </c>
      <c r="AA136" s="3"/>
      <c r="AB136" s="3"/>
      <c r="AC136" s="3"/>
      <c r="AD136" s="3"/>
    </row>
    <row r="137" spans="1:30" ht="15.75" customHeight="1">
      <c r="A137" s="3"/>
      <c r="B137" s="3"/>
      <c r="C137" s="16" t="s">
        <v>110</v>
      </c>
      <c r="D137" s="3"/>
      <c r="E137" s="12">
        <v>6091</v>
      </c>
      <c r="F137" s="2">
        <v>2854</v>
      </c>
      <c r="G137" s="2">
        <f t="shared" si="33"/>
        <v>3725</v>
      </c>
      <c r="H137" s="2">
        <f t="shared" si="33"/>
        <v>2210</v>
      </c>
      <c r="I137" s="2">
        <f t="shared" si="34"/>
        <v>3653</v>
      </c>
      <c r="J137" s="2">
        <f t="shared" si="34"/>
        <v>2164</v>
      </c>
      <c r="K137" s="2">
        <v>274</v>
      </c>
      <c r="L137" s="2">
        <v>170</v>
      </c>
      <c r="M137" s="2">
        <f>192+255</f>
        <v>447</v>
      </c>
      <c r="N137" s="2">
        <f>126+153</f>
        <v>279</v>
      </c>
      <c r="Q137" s="2">
        <v>783</v>
      </c>
      <c r="R137" s="2">
        <f>203+249</f>
        <v>452</v>
      </c>
      <c r="S137" s="2">
        <v>804</v>
      </c>
      <c r="T137" s="2">
        <f>284+177</f>
        <v>461</v>
      </c>
      <c r="U137" s="2">
        <v>1345</v>
      </c>
      <c r="V137" s="2">
        <f>188+244+201+107+40+19+3</f>
        <v>802</v>
      </c>
      <c r="W137" s="2">
        <v>72</v>
      </c>
      <c r="X137" s="2">
        <v>46</v>
      </c>
      <c r="Y137" s="2">
        <v>2365</v>
      </c>
      <c r="Z137" s="2">
        <v>643</v>
      </c>
      <c r="AA137" s="3"/>
      <c r="AB137" s="3"/>
      <c r="AC137" s="3"/>
      <c r="AD137" s="3"/>
    </row>
    <row r="138" spans="1:30" ht="15.75" customHeight="1">
      <c r="A138" s="3"/>
      <c r="B138" s="3"/>
      <c r="C138" s="16" t="s">
        <v>111</v>
      </c>
      <c r="D138" s="3"/>
      <c r="E138" s="12">
        <v>7905</v>
      </c>
      <c r="F138" s="2">
        <v>3677</v>
      </c>
      <c r="G138" s="2">
        <f t="shared" si="33"/>
        <v>4941</v>
      </c>
      <c r="H138" s="2">
        <f t="shared" si="33"/>
        <v>2899</v>
      </c>
      <c r="I138" s="2">
        <f t="shared" si="34"/>
        <v>4778</v>
      </c>
      <c r="J138" s="2">
        <f t="shared" si="34"/>
        <v>2788</v>
      </c>
      <c r="K138" s="2">
        <v>291</v>
      </c>
      <c r="L138" s="2">
        <v>167</v>
      </c>
      <c r="M138" s="2">
        <v>573</v>
      </c>
      <c r="N138" s="2">
        <v>338</v>
      </c>
      <c r="Q138" s="2">
        <v>1065</v>
      </c>
      <c r="R138" s="2">
        <f>286+314</f>
        <v>600</v>
      </c>
      <c r="S138" s="2">
        <v>1084</v>
      </c>
      <c r="T138" s="2">
        <f>374+245</f>
        <v>619</v>
      </c>
      <c r="U138" s="2">
        <f>485+550+406+207+87+25+5</f>
        <v>1765</v>
      </c>
      <c r="V138" s="2">
        <f>281+333+253+110+64+23</f>
        <v>1064</v>
      </c>
      <c r="W138" s="2">
        <v>163</v>
      </c>
      <c r="X138" s="2">
        <v>111</v>
      </c>
      <c r="Y138" s="2">
        <v>2959</v>
      </c>
      <c r="Z138" s="2">
        <v>777</v>
      </c>
      <c r="AA138" s="3"/>
      <c r="AB138" s="3"/>
      <c r="AC138" s="3"/>
      <c r="AD138" s="3"/>
    </row>
    <row r="139" spans="1:30" ht="15.75" customHeight="1">
      <c r="A139" s="3"/>
      <c r="B139" s="3"/>
      <c r="C139" s="16" t="s">
        <v>112</v>
      </c>
      <c r="D139" s="3"/>
      <c r="E139" s="12">
        <v>3933</v>
      </c>
      <c r="F139" s="2">
        <v>1825</v>
      </c>
      <c r="G139" s="2">
        <f t="shared" si="33"/>
        <v>2559</v>
      </c>
      <c r="H139" s="2">
        <f t="shared" si="33"/>
        <v>1454</v>
      </c>
      <c r="I139" s="2">
        <f t="shared" si="34"/>
        <v>2498</v>
      </c>
      <c r="J139" s="2">
        <f t="shared" si="34"/>
        <v>1411</v>
      </c>
      <c r="K139" s="2">
        <v>187</v>
      </c>
      <c r="L139" s="2">
        <v>108</v>
      </c>
      <c r="M139" s="2">
        <v>364</v>
      </c>
      <c r="N139" s="2">
        <v>198</v>
      </c>
      <c r="Q139" s="2">
        <f>284+278</f>
        <v>562</v>
      </c>
      <c r="R139" s="2">
        <f>172+149</f>
        <v>321</v>
      </c>
      <c r="S139" s="2">
        <f>298+219</f>
        <v>517</v>
      </c>
      <c r="T139" s="2">
        <v>273</v>
      </c>
      <c r="U139" s="2">
        <f>266+261+200+92+34+12+3</f>
        <v>868</v>
      </c>
      <c r="V139" s="2">
        <f>143+155+133+52+20+7+1</f>
        <v>511</v>
      </c>
      <c r="W139" s="2">
        <v>61</v>
      </c>
      <c r="X139" s="2">
        <v>43</v>
      </c>
      <c r="Y139" s="2">
        <v>1370</v>
      </c>
      <c r="Z139" s="2">
        <v>370</v>
      </c>
      <c r="AA139" s="3"/>
      <c r="AB139" s="3"/>
      <c r="AC139" s="3"/>
      <c r="AD139" s="3"/>
    </row>
    <row r="140" spans="1:30" ht="14.25" customHeight="1">
      <c r="A140" s="3"/>
      <c r="B140" s="3"/>
      <c r="C140" s="3"/>
      <c r="D140" s="3"/>
      <c r="E140" s="12"/>
      <c r="AA140" s="3"/>
      <c r="AB140" s="3"/>
      <c r="AC140" s="3"/>
      <c r="AD140" s="3"/>
    </row>
    <row r="141" spans="1:30" ht="14.25" customHeight="1">
      <c r="A141" s="3"/>
      <c r="B141" s="3"/>
      <c r="C141" s="3"/>
      <c r="D141" s="3"/>
      <c r="E141" s="12"/>
      <c r="AA141" s="3"/>
      <c r="AB141" s="3"/>
      <c r="AC141" s="3"/>
      <c r="AD141" s="3"/>
    </row>
    <row r="142" spans="1:30" ht="15.75" customHeight="1">
      <c r="A142" s="3"/>
      <c r="B142" s="3"/>
      <c r="C142" s="13" t="s">
        <v>113</v>
      </c>
      <c r="D142" s="3"/>
      <c r="E142" s="12">
        <f>SUM(E144:E150)</f>
        <v>35160</v>
      </c>
      <c r="F142" s="6">
        <f>SUM(F144:F150)</f>
        <v>16880</v>
      </c>
      <c r="G142" s="6">
        <f aca="true" t="shared" si="35" ref="G142:N142">SUM(G144:G150)</f>
        <v>21971</v>
      </c>
      <c r="H142" s="6">
        <f t="shared" si="35"/>
        <v>13449</v>
      </c>
      <c r="I142" s="6">
        <f t="shared" si="35"/>
        <v>21292</v>
      </c>
      <c r="J142" s="6">
        <f t="shared" si="35"/>
        <v>12996</v>
      </c>
      <c r="K142" s="6">
        <f>SUM(K144:K150)</f>
        <v>1704</v>
      </c>
      <c r="L142" s="6">
        <f t="shared" si="35"/>
        <v>1054</v>
      </c>
      <c r="M142" s="6">
        <f t="shared" si="35"/>
        <v>3290</v>
      </c>
      <c r="N142" s="6">
        <f t="shared" si="35"/>
        <v>2128</v>
      </c>
      <c r="Q142" s="6">
        <f aca="true" t="shared" si="36" ref="Q142:Z142">SUM(Q144:Q150)</f>
        <v>5377</v>
      </c>
      <c r="R142" s="6">
        <f t="shared" si="36"/>
        <v>3245</v>
      </c>
      <c r="S142" s="6">
        <f t="shared" si="36"/>
        <v>4809</v>
      </c>
      <c r="T142" s="6">
        <f t="shared" si="36"/>
        <v>2739</v>
      </c>
      <c r="U142" s="6">
        <f t="shared" si="36"/>
        <v>6112</v>
      </c>
      <c r="V142" s="6">
        <f t="shared" si="36"/>
        <v>3830</v>
      </c>
      <c r="W142" s="6">
        <f t="shared" si="36"/>
        <v>679</v>
      </c>
      <c r="X142" s="6">
        <f t="shared" si="36"/>
        <v>453</v>
      </c>
      <c r="Y142" s="6">
        <f t="shared" si="36"/>
        <v>13176</v>
      </c>
      <c r="Z142" s="6">
        <f t="shared" si="36"/>
        <v>3428</v>
      </c>
      <c r="AA142" s="3"/>
      <c r="AB142" s="3"/>
      <c r="AC142" s="3"/>
      <c r="AD142" s="3"/>
    </row>
    <row r="143" spans="1:30" ht="14.25" customHeight="1">
      <c r="A143" s="3"/>
      <c r="B143" s="3"/>
      <c r="C143" s="3"/>
      <c r="D143" s="3"/>
      <c r="E143" s="12"/>
      <c r="AA143" s="3"/>
      <c r="AB143" s="3"/>
      <c r="AC143" s="3"/>
      <c r="AD143" s="3"/>
    </row>
    <row r="144" spans="1:30" ht="15.75" customHeight="1">
      <c r="A144" s="3"/>
      <c r="B144" s="3"/>
      <c r="C144" s="16" t="s">
        <v>114</v>
      </c>
      <c r="D144" s="3"/>
      <c r="E144" s="12">
        <v>13080</v>
      </c>
      <c r="F144" s="2">
        <v>6323</v>
      </c>
      <c r="G144" s="2">
        <f aca="true" t="shared" si="37" ref="G144:H150">I144+W144</f>
        <v>8291</v>
      </c>
      <c r="H144" s="2">
        <f t="shared" si="37"/>
        <v>5123</v>
      </c>
      <c r="I144" s="2">
        <f aca="true" t="shared" si="38" ref="I144:J150">SUM(K144,M144,Q144,S144,U144)</f>
        <v>8007</v>
      </c>
      <c r="J144" s="2">
        <f t="shared" si="38"/>
        <v>4944</v>
      </c>
      <c r="K144" s="2">
        <f>176+596</f>
        <v>772</v>
      </c>
      <c r="L144" s="2">
        <f>117+358</f>
        <v>475</v>
      </c>
      <c r="M144" s="2">
        <f>640+753</f>
        <v>1393</v>
      </c>
      <c r="N144" s="2">
        <f>417+478</f>
        <v>895</v>
      </c>
      <c r="Q144" s="2">
        <f>975+1083</f>
        <v>2058</v>
      </c>
      <c r="R144" s="2">
        <f>632+652</f>
        <v>1284</v>
      </c>
      <c r="S144" s="2">
        <f>1084+773</f>
        <v>1857</v>
      </c>
      <c r="T144" s="2">
        <f>627+416</f>
        <v>1043</v>
      </c>
      <c r="U144" s="2">
        <f>693+556+355+192+83+39+9</f>
        <v>1927</v>
      </c>
      <c r="V144" s="2">
        <f>449+363+226+124+55+23+7</f>
        <v>1247</v>
      </c>
      <c r="W144" s="2">
        <v>284</v>
      </c>
      <c r="X144" s="2">
        <v>179</v>
      </c>
      <c r="Y144" s="2">
        <v>4784</v>
      </c>
      <c r="Z144" s="2">
        <v>1198</v>
      </c>
      <c r="AA144" s="3"/>
      <c r="AB144" s="3"/>
      <c r="AC144" s="3"/>
      <c r="AD144" s="3"/>
    </row>
    <row r="145" spans="1:30" ht="15.75" customHeight="1">
      <c r="A145" s="3"/>
      <c r="B145" s="3"/>
      <c r="C145" s="16" t="s">
        <v>115</v>
      </c>
      <c r="D145" s="3"/>
      <c r="E145" s="12">
        <v>6941</v>
      </c>
      <c r="F145" s="2">
        <v>3336</v>
      </c>
      <c r="G145" s="2">
        <f t="shared" si="37"/>
        <v>4445</v>
      </c>
      <c r="H145" s="2">
        <f t="shared" si="37"/>
        <v>2670</v>
      </c>
      <c r="I145" s="2">
        <f t="shared" si="38"/>
        <v>4255</v>
      </c>
      <c r="J145" s="2">
        <f t="shared" si="38"/>
        <v>2536</v>
      </c>
      <c r="K145" s="2">
        <v>339</v>
      </c>
      <c r="L145" s="2">
        <f>149+58</f>
        <v>207</v>
      </c>
      <c r="M145" s="2">
        <f>278+357</f>
        <v>635</v>
      </c>
      <c r="N145" s="2">
        <f>182+229</f>
        <v>411</v>
      </c>
      <c r="Q145" s="2">
        <f>533+608</f>
        <v>1141</v>
      </c>
      <c r="R145" s="2">
        <f>316+339</f>
        <v>655</v>
      </c>
      <c r="S145" s="2">
        <v>949</v>
      </c>
      <c r="T145" s="2">
        <f>308+227</f>
        <v>535</v>
      </c>
      <c r="U145" s="2">
        <f>450+365+222+95+41+14+4</f>
        <v>1191</v>
      </c>
      <c r="V145" s="2">
        <f>265+230+134+56+32+11</f>
        <v>728</v>
      </c>
      <c r="W145" s="2">
        <v>190</v>
      </c>
      <c r="X145" s="2">
        <v>134</v>
      </c>
      <c r="Y145" s="2">
        <v>2493</v>
      </c>
      <c r="Z145" s="2">
        <v>666</v>
      </c>
      <c r="AA145" s="3"/>
      <c r="AB145" s="3"/>
      <c r="AC145" s="3"/>
      <c r="AD145" s="3"/>
    </row>
    <row r="146" spans="1:30" ht="15.75" customHeight="1">
      <c r="A146" s="3"/>
      <c r="B146" s="3"/>
      <c r="C146" s="16" t="s">
        <v>116</v>
      </c>
      <c r="D146" s="3"/>
      <c r="E146" s="12">
        <v>4042</v>
      </c>
      <c r="F146" s="2">
        <v>1913</v>
      </c>
      <c r="G146" s="2">
        <f t="shared" si="37"/>
        <v>2608</v>
      </c>
      <c r="H146" s="2">
        <f t="shared" si="37"/>
        <v>1495</v>
      </c>
      <c r="I146" s="2">
        <f t="shared" si="38"/>
        <v>2552</v>
      </c>
      <c r="J146" s="2">
        <f t="shared" si="38"/>
        <v>1455</v>
      </c>
      <c r="K146" s="2">
        <v>165</v>
      </c>
      <c r="L146" s="2">
        <v>87</v>
      </c>
      <c r="M146" s="2">
        <v>354</v>
      </c>
      <c r="N146" s="2">
        <v>217</v>
      </c>
      <c r="Q146" s="2">
        <f>299+364</f>
        <v>663</v>
      </c>
      <c r="R146" s="2">
        <f>165+196</f>
        <v>361</v>
      </c>
      <c r="S146" s="2">
        <v>549</v>
      </c>
      <c r="T146" s="2">
        <v>304</v>
      </c>
      <c r="U146" s="2">
        <f>248+276+189+67+25+13+3</f>
        <v>821</v>
      </c>
      <c r="V146" s="2">
        <f>136+165+114+47+11+13</f>
        <v>486</v>
      </c>
      <c r="W146" s="2">
        <v>56</v>
      </c>
      <c r="X146" s="2">
        <v>40</v>
      </c>
      <c r="Y146" s="2">
        <v>1433</v>
      </c>
      <c r="Z146" s="2">
        <v>418</v>
      </c>
      <c r="AA146" s="3"/>
      <c r="AB146" s="3"/>
      <c r="AC146" s="3"/>
      <c r="AD146" s="3"/>
    </row>
    <row r="147" spans="1:30" ht="15.75" customHeight="1">
      <c r="A147" s="3"/>
      <c r="B147" s="3"/>
      <c r="C147" s="16" t="s">
        <v>117</v>
      </c>
      <c r="D147" s="3"/>
      <c r="E147" s="12">
        <v>2575</v>
      </c>
      <c r="F147" s="2">
        <v>1220</v>
      </c>
      <c r="G147" s="2">
        <f t="shared" si="37"/>
        <v>1481</v>
      </c>
      <c r="H147" s="2">
        <f t="shared" si="37"/>
        <v>916</v>
      </c>
      <c r="I147" s="2">
        <f t="shared" si="38"/>
        <v>1451</v>
      </c>
      <c r="J147" s="2">
        <f t="shared" si="38"/>
        <v>890</v>
      </c>
      <c r="K147" s="2">
        <v>75</v>
      </c>
      <c r="L147" s="2">
        <v>42</v>
      </c>
      <c r="M147" s="2">
        <v>189</v>
      </c>
      <c r="N147" s="2">
        <v>121</v>
      </c>
      <c r="Q147" s="2">
        <v>341</v>
      </c>
      <c r="R147" s="2">
        <v>202</v>
      </c>
      <c r="S147" s="2">
        <v>335</v>
      </c>
      <c r="T147" s="2">
        <v>195</v>
      </c>
      <c r="U147" s="2">
        <f>188+164+105+39+11+4</f>
        <v>511</v>
      </c>
      <c r="V147" s="2">
        <f>114+107+72+28+9</f>
        <v>330</v>
      </c>
      <c r="W147" s="2">
        <v>30</v>
      </c>
      <c r="X147" s="2">
        <v>26</v>
      </c>
      <c r="Y147" s="2">
        <v>1093</v>
      </c>
      <c r="Z147" s="2">
        <v>304</v>
      </c>
      <c r="AA147" s="3"/>
      <c r="AB147" s="3"/>
      <c r="AC147" s="3"/>
      <c r="AD147" s="3"/>
    </row>
    <row r="148" spans="1:30" ht="15.75" customHeight="1">
      <c r="A148" s="3"/>
      <c r="B148" s="3"/>
      <c r="C148" s="16" t="s">
        <v>118</v>
      </c>
      <c r="D148" s="3"/>
      <c r="E148" s="12">
        <v>3904</v>
      </c>
      <c r="F148" s="2">
        <v>1869</v>
      </c>
      <c r="G148" s="2">
        <f t="shared" si="37"/>
        <v>2306</v>
      </c>
      <c r="H148" s="2">
        <f t="shared" si="37"/>
        <v>1470</v>
      </c>
      <c r="I148" s="2">
        <f t="shared" si="38"/>
        <v>2229</v>
      </c>
      <c r="J148" s="2">
        <f t="shared" si="38"/>
        <v>1424</v>
      </c>
      <c r="K148" s="2">
        <f>27+129</f>
        <v>156</v>
      </c>
      <c r="L148" s="2">
        <f>19+79</f>
        <v>98</v>
      </c>
      <c r="M148" s="2">
        <v>290</v>
      </c>
      <c r="N148" s="2">
        <f>74+118</f>
        <v>192</v>
      </c>
      <c r="Q148" s="2">
        <f>235+272</f>
        <v>507</v>
      </c>
      <c r="R148" s="2">
        <f>164+177</f>
        <v>341</v>
      </c>
      <c r="S148" s="2">
        <f>282+216</f>
        <v>498</v>
      </c>
      <c r="T148" s="2">
        <f>170+129</f>
        <v>299</v>
      </c>
      <c r="U148" s="2">
        <f>254+268+150+77+24+5</f>
        <v>778</v>
      </c>
      <c r="V148" s="2">
        <f>159+157+102+49+23+4</f>
        <v>494</v>
      </c>
      <c r="W148" s="2">
        <v>77</v>
      </c>
      <c r="X148" s="2">
        <v>46</v>
      </c>
      <c r="Y148" s="2">
        <v>1598</v>
      </c>
      <c r="Z148" s="2">
        <v>399</v>
      </c>
      <c r="AA148" s="3"/>
      <c r="AB148" s="3"/>
      <c r="AC148" s="3"/>
      <c r="AD148" s="3"/>
    </row>
    <row r="149" spans="1:30" ht="15.75" customHeight="1">
      <c r="A149" s="3"/>
      <c r="B149" s="3"/>
      <c r="C149" s="6"/>
      <c r="D149" s="3"/>
      <c r="E149" s="12"/>
      <c r="I149" s="3"/>
      <c r="J149" s="3"/>
      <c r="AA149" s="3"/>
      <c r="AB149" s="3"/>
      <c r="AC149" s="3"/>
      <c r="AD149" s="3"/>
    </row>
    <row r="150" spans="1:30" ht="15.75" customHeight="1">
      <c r="A150" s="3"/>
      <c r="B150" s="3"/>
      <c r="C150" s="17" t="s">
        <v>119</v>
      </c>
      <c r="D150" s="3"/>
      <c r="E150" s="12">
        <v>4618</v>
      </c>
      <c r="F150" s="2">
        <v>2219</v>
      </c>
      <c r="G150" s="2">
        <f t="shared" si="37"/>
        <v>2840</v>
      </c>
      <c r="H150" s="2">
        <f t="shared" si="37"/>
        <v>1775</v>
      </c>
      <c r="I150" s="2">
        <f t="shared" si="38"/>
        <v>2798</v>
      </c>
      <c r="J150" s="2">
        <f t="shared" si="38"/>
        <v>1747</v>
      </c>
      <c r="K150" s="2">
        <v>197</v>
      </c>
      <c r="L150" s="2">
        <v>145</v>
      </c>
      <c r="M150" s="2">
        <f>178+251</f>
        <v>429</v>
      </c>
      <c r="N150" s="2">
        <v>292</v>
      </c>
      <c r="Q150" s="2">
        <v>667</v>
      </c>
      <c r="R150" s="2">
        <v>402</v>
      </c>
      <c r="S150" s="2">
        <f>368+253</f>
        <v>621</v>
      </c>
      <c r="T150" s="2">
        <v>363</v>
      </c>
      <c r="U150" s="2">
        <f>294+278+179+85+32+15+1</f>
        <v>884</v>
      </c>
      <c r="V150" s="2">
        <f>160+183+114+59+19+10</f>
        <v>545</v>
      </c>
      <c r="W150" s="2">
        <v>42</v>
      </c>
      <c r="X150" s="2">
        <v>28</v>
      </c>
      <c r="Y150" s="2">
        <v>1775</v>
      </c>
      <c r="Z150" s="2">
        <v>443</v>
      </c>
      <c r="AA150" s="3"/>
      <c r="AB150" s="3"/>
      <c r="AC150" s="3"/>
      <c r="AD150" s="3"/>
    </row>
    <row r="151" spans="1:30" ht="15.75" customHeight="1" thickBot="1">
      <c r="A151" s="3"/>
      <c r="B151" s="10"/>
      <c r="C151" s="10"/>
      <c r="D151" s="10"/>
      <c r="E151" s="14"/>
      <c r="F151" s="10"/>
      <c r="G151" s="10"/>
      <c r="H151" s="10"/>
      <c r="I151" s="10"/>
      <c r="J151" s="10"/>
      <c r="K151" s="10"/>
      <c r="L151" s="10"/>
      <c r="M151" s="10"/>
      <c r="N151" s="10"/>
      <c r="O151" s="3"/>
      <c r="P151" s="3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3"/>
      <c r="AB151" s="3"/>
      <c r="AC151" s="3"/>
      <c r="AD151" s="3"/>
    </row>
    <row r="152" spans="1:30" ht="15.75" customHeight="1">
      <c r="A152" s="3"/>
      <c r="B152" s="3"/>
      <c r="C152" s="2" t="s">
        <v>120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" t="s">
        <v>121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75" customHeight="1">
      <c r="A153" s="3"/>
      <c r="B153" s="3"/>
      <c r="C153" s="2" t="s">
        <v>122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26" ht="14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20">
    <mergeCell ref="C5:C6"/>
    <mergeCell ref="E6:E7"/>
    <mergeCell ref="F6:F7"/>
    <mergeCell ref="G6:G7"/>
    <mergeCell ref="H6:H7"/>
    <mergeCell ref="E4:F5"/>
    <mergeCell ref="W5:X6"/>
    <mergeCell ref="Y4:Z5"/>
    <mergeCell ref="Y6:Y7"/>
    <mergeCell ref="Z6:Z7"/>
    <mergeCell ref="E80:F81"/>
    <mergeCell ref="Y80:Z81"/>
    <mergeCell ref="C81:C82"/>
    <mergeCell ref="W81:X82"/>
    <mergeCell ref="E82:E83"/>
    <mergeCell ref="F82:F83"/>
    <mergeCell ref="G82:G83"/>
    <mergeCell ref="H82:H83"/>
    <mergeCell ref="Y82:Y83"/>
    <mergeCell ref="Z82:Z8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2000-08-23T00:36:27Z</cp:lastPrinted>
  <dcterms:modified xsi:type="dcterms:W3CDTF">2000-08-23T01:12:33Z</dcterms:modified>
  <cp:category/>
  <cp:version/>
  <cp:contentType/>
  <cp:contentStatus/>
</cp:coreProperties>
</file>