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長崎市～愛野町" sheetId="1" r:id="rId1"/>
  </sheets>
  <definedNames>
    <definedName name="_xlnm.Print_Area" localSheetId="0">'長崎市～愛野町'!$A$1:$L$60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<sst xmlns="http://schemas.openxmlformats.org/spreadsheetml/2006/main" count="69" uniqueCount="67">
  <si>
    <t>流入</t>
  </si>
  <si>
    <t>流出</t>
  </si>
  <si>
    <t>市 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</si>
  <si>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</si>
  <si>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</si>
  <si>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</si>
  <si>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</si>
  <si>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</si>
  <si>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</si>
  <si>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</si>
  <si>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</si>
  <si>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</si>
  <si>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</si>
  <si>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</si>
  <si>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</si>
  <si>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</si>
  <si>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</si>
  <si>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</si>
  <si>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</si>
  <si>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</si>
  <si>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</si>
  <si>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</si>
  <si>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</si>
  <si>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</si>
  <si>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</si>
  <si>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</si>
  <si>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</si>
  <si>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</si>
  <si>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</si>
  <si>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</si>
  <si>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</si>
  <si>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</si>
  <si>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</si>
  <si>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</si>
  <si>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1)常住地人口
（夜間人口）</t>
  </si>
  <si>
    <t>1)従業地通学地
による人口
（昼間人口）</t>
  </si>
  <si>
    <t>流入超過
（△流出超過）</t>
  </si>
  <si>
    <t>夜間人口
100人当たり
昼間人口</t>
  </si>
  <si>
    <t>国勢調査（各年10月 1日現在）による。</t>
  </si>
  <si>
    <t>2)通勤・通学者数</t>
  </si>
  <si>
    <t>2)通勤者数</t>
  </si>
  <si>
    <t>資料  総務省統計局「国勢調査報告」</t>
  </si>
  <si>
    <t xml:space="preserve">  2)  同一市町村内の通勤・通学者は含まない。</t>
  </si>
  <si>
    <t xml:space="preserve">  1)  労働力状態「不詳」を含む。</t>
  </si>
  <si>
    <t>対馬市</t>
  </si>
  <si>
    <t>壱岐市</t>
  </si>
  <si>
    <t>五島市</t>
  </si>
  <si>
    <t>西海市</t>
  </si>
  <si>
    <t>千　々　石　町</t>
  </si>
  <si>
    <t>愛    野  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</si>
  <si>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</si>
  <si>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</si>
  <si>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</si>
  <si>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</si>
  <si>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</si>
  <si>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</si>
  <si>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</si>
  <si>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</si>
  <si>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</si>
  <si>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</si>
  <si>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新上五島町</t>
  </si>
  <si>
    <t xml:space="preserve">     17</t>
  </si>
  <si>
    <t>単位：人</t>
  </si>
  <si>
    <t>市町</t>
  </si>
  <si>
    <t>平成 7年</t>
  </si>
  <si>
    <t xml:space="preserve">     12</t>
  </si>
  <si>
    <r>
      <t>　　　　２５    従 業 地 ・ 通 学 地 に よ る 人 口　　</t>
    </r>
    <r>
      <rPr>
        <sz val="12"/>
        <rFont val="ＭＳ 明朝"/>
        <family val="1"/>
      </rPr>
      <t>（平成１７年）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</si>
</sst>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;[Red]\-#,##0\ "/>
    <numFmt numFmtId="184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4" fontId="5" fillId="0" borderId="0" xfId="15" applyNumberFormat="1" applyFont="1" applyFill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4" fontId="5" fillId="0" borderId="0" xfId="15" applyNumberFormat="1" applyFont="1" applyFill="1" applyBorder="1" applyAlignment="1">
      <alignment/>
    </xf>
    <xf numFmtId="184" fontId="5" fillId="0" borderId="1" xfId="15" applyNumberFormat="1" applyFont="1" applyFill="1" applyBorder="1" applyAlignment="1">
      <alignment horizontal="right"/>
    </xf>
    <xf numFmtId="184" fontId="5" fillId="0" borderId="9" xfId="15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4" width="18.125" style="2" customWidth="1"/>
    <col min="5" max="5" width="18.25390625" style="2" customWidth="1"/>
    <col min="6" max="6" width="18.00390625" style="2" customWidth="1"/>
    <col min="7" max="10" width="13.125" style="2" customWidth="1"/>
    <col min="11" max="11" width="14.875" style="1" customWidth="1"/>
    <col min="12" max="12" width="4.75390625" style="2" customWidth="1"/>
    <col min="13" max="16384" width="8.625" style="2" customWidth="1"/>
  </cols>
  <sheetData>
    <row r="1" ht="24">
      <c r="B1" s="3" t="s">
        <v>66</v>
      </c>
    </row>
    <row r="2" spans="1:11" ht="21.75" customHeight="1" thickBot="1">
      <c r="A2" s="4"/>
      <c r="B2" s="4" t="s">
        <v>38</v>
      </c>
      <c r="C2" s="4"/>
      <c r="D2" s="4"/>
      <c r="E2" s="4"/>
      <c r="F2" s="4"/>
      <c r="G2" s="4"/>
      <c r="H2" s="4"/>
      <c r="I2" s="4"/>
      <c r="J2" s="4"/>
      <c r="K2" s="21" t="s">
        <v>62</v>
      </c>
    </row>
    <row r="3" spans="1:11" ht="15.75" customHeight="1">
      <c r="A3" s="6"/>
      <c r="B3" s="26" t="s">
        <v>63</v>
      </c>
      <c r="C3" s="6"/>
      <c r="D3" s="28" t="s">
        <v>34</v>
      </c>
      <c r="E3" s="28" t="s">
        <v>35</v>
      </c>
      <c r="F3" s="28" t="s">
        <v>36</v>
      </c>
      <c r="G3" s="24" t="s">
        <v>39</v>
      </c>
      <c r="H3" s="25"/>
      <c r="I3" s="24" t="s">
        <v>40</v>
      </c>
      <c r="J3" s="25"/>
      <c r="K3" s="22" t="s">
        <v>37</v>
      </c>
    </row>
    <row r="4" spans="1:11" ht="31.5" customHeight="1">
      <c r="A4" s="7"/>
      <c r="B4" s="27"/>
      <c r="C4" s="8"/>
      <c r="D4" s="29"/>
      <c r="E4" s="29"/>
      <c r="F4" s="29"/>
      <c r="G4" s="9" t="s">
        <v>0</v>
      </c>
      <c r="H4" s="9" t="s">
        <v>1</v>
      </c>
      <c r="I4" s="9" t="s">
        <v>0</v>
      </c>
      <c r="J4" s="9" t="s">
        <v>1</v>
      </c>
      <c r="K4" s="23"/>
    </row>
    <row r="5" spans="2:11" ht="31.5" customHeight="1">
      <c r="B5" s="10" t="s">
        <v>64</v>
      </c>
      <c r="C5" s="11"/>
      <c r="D5" s="19">
        <v>1544381</v>
      </c>
      <c r="E5" s="2">
        <v>1541570</v>
      </c>
      <c r="F5" s="2">
        <v>-2811</v>
      </c>
      <c r="G5" s="2">
        <v>157040</v>
      </c>
      <c r="H5" s="2">
        <v>159851</v>
      </c>
      <c r="I5" s="2">
        <v>130608</v>
      </c>
      <c r="J5" s="2">
        <v>133465</v>
      </c>
      <c r="K5" s="1">
        <v>99.81798532874984</v>
      </c>
    </row>
    <row r="6" spans="2:11" ht="15.75" customHeight="1">
      <c r="B6" s="11" t="s">
        <v>65</v>
      </c>
      <c r="C6" s="13"/>
      <c r="D6" s="2">
        <v>1515609</v>
      </c>
      <c r="E6" s="2">
        <v>1512910</v>
      </c>
      <c r="F6" s="2">
        <v>-2699</v>
      </c>
      <c r="G6" s="2">
        <v>167042</v>
      </c>
      <c r="H6" s="2">
        <v>169741</v>
      </c>
      <c r="I6" s="2">
        <v>141313</v>
      </c>
      <c r="J6" s="2">
        <v>143834</v>
      </c>
      <c r="K6" s="1">
        <v>99.8</v>
      </c>
    </row>
    <row r="7" spans="2:11" ht="24.75" customHeight="1">
      <c r="B7" s="11" t="s">
        <v>61</v>
      </c>
      <c r="D7" s="12">
        <f aca="true" t="shared" si="0" ref="D7:J7">SUM(D8:D9)</f>
        <v>1478031</v>
      </c>
      <c r="E7" s="14">
        <f t="shared" si="0"/>
        <v>1474240</v>
      </c>
      <c r="F7" s="14">
        <f t="shared" si="0"/>
        <v>-3791</v>
      </c>
      <c r="G7" s="14">
        <f t="shared" si="0"/>
        <v>134943</v>
      </c>
      <c r="H7" s="14">
        <f t="shared" si="0"/>
        <v>138734</v>
      </c>
      <c r="I7" s="14">
        <f t="shared" si="0"/>
        <v>116383</v>
      </c>
      <c r="J7" s="14">
        <f t="shared" si="0"/>
        <v>119835</v>
      </c>
      <c r="K7" s="20">
        <f>E7/D7*100</f>
        <v>99.74351011582301</v>
      </c>
    </row>
    <row r="8" spans="2:11" ht="31.5" customHeight="1">
      <c r="B8" s="10" t="s">
        <v>2</v>
      </c>
      <c r="C8" s="10"/>
      <c r="D8" s="12">
        <f>SUM(D10:D20)</f>
        <v>1168551</v>
      </c>
      <c r="E8" s="14">
        <f aca="true" t="shared" si="1" ref="E8:J8">SUM(E10:E20)</f>
        <v>1192210</v>
      </c>
      <c r="F8" s="14">
        <f t="shared" si="1"/>
        <v>23659</v>
      </c>
      <c r="G8" s="14">
        <f t="shared" si="1"/>
        <v>92478</v>
      </c>
      <c r="H8" s="14">
        <f t="shared" si="1"/>
        <v>68819</v>
      </c>
      <c r="I8" s="14">
        <f t="shared" si="1"/>
        <v>78673</v>
      </c>
      <c r="J8" s="14">
        <f t="shared" si="1"/>
        <v>59745</v>
      </c>
      <c r="K8" s="20">
        <f>E8/D8*100</f>
        <v>102.02464419610268</v>
      </c>
    </row>
    <row r="9" spans="2:11" ht="19.5" customHeight="1">
      <c r="B9" s="10" t="s">
        <v>3</v>
      </c>
      <c r="C9" s="10"/>
      <c r="D9" s="12">
        <f>SUM(D21,D25,D29,D46,D55)</f>
        <v>309480</v>
      </c>
      <c r="E9" s="14">
        <f aca="true" t="shared" si="2" ref="E9:J9">SUM(E21,E25,E29,E46,E55)</f>
        <v>282030</v>
      </c>
      <c r="F9" s="14">
        <f t="shared" si="2"/>
        <v>-27450</v>
      </c>
      <c r="G9" s="14">
        <f t="shared" si="2"/>
        <v>42465</v>
      </c>
      <c r="H9" s="14">
        <f t="shared" si="2"/>
        <v>69915</v>
      </c>
      <c r="I9" s="14">
        <f t="shared" si="2"/>
        <v>37710</v>
      </c>
      <c r="J9" s="14">
        <f t="shared" si="2"/>
        <v>60090</v>
      </c>
      <c r="K9" s="20">
        <f>E9/D9*100</f>
        <v>91.13028305544785</v>
      </c>
    </row>
    <row r="10" spans="2:11" ht="30" customHeight="1">
      <c r="B10" s="10" t="s">
        <v>4</v>
      </c>
      <c r="C10" s="10"/>
      <c r="D10" s="12">
        <v>442458</v>
      </c>
      <c r="E10" s="14">
        <v>457149</v>
      </c>
      <c r="F10" s="14">
        <f aca="true" t="shared" si="3" ref="F10:F20">E10-D10</f>
        <v>14691</v>
      </c>
      <c r="G10" s="14">
        <f>33280+1434</f>
        <v>34714</v>
      </c>
      <c r="H10" s="14">
        <f>17985+2038</f>
        <v>20023</v>
      </c>
      <c r="I10" s="14">
        <f>28551+1130</f>
        <v>29681</v>
      </c>
      <c r="J10" s="14">
        <f>15587+1787</f>
        <v>17374</v>
      </c>
      <c r="K10" s="20">
        <f>E10/D10*100</f>
        <v>103.32031514855646</v>
      </c>
    </row>
    <row r="11" spans="2:11" ht="15.75" customHeight="1">
      <c r="B11" s="10" t="s">
        <v>5</v>
      </c>
      <c r="C11" s="10"/>
      <c r="D11" s="12">
        <v>247800</v>
      </c>
      <c r="E11" s="14">
        <v>252804</v>
      </c>
      <c r="F11" s="14">
        <f t="shared" si="3"/>
        <v>5004</v>
      </c>
      <c r="G11" s="14">
        <f>13225+2560</f>
        <v>15785</v>
      </c>
      <c r="H11" s="14">
        <f>8072+2709</f>
        <v>10781</v>
      </c>
      <c r="I11" s="14">
        <f>11317+2291</f>
        <v>13608</v>
      </c>
      <c r="J11" s="14">
        <f>7003+2414</f>
        <v>9417</v>
      </c>
      <c r="K11" s="20">
        <f aca="true" t="shared" si="4" ref="K11:K20">E11/D11*100</f>
        <v>102.01937046004844</v>
      </c>
    </row>
    <row r="12" spans="2:11" ht="15.75" customHeight="1">
      <c r="B12" s="10" t="s">
        <v>6</v>
      </c>
      <c r="C12" s="10"/>
      <c r="D12" s="12">
        <v>38312</v>
      </c>
      <c r="E12" s="14">
        <v>41902</v>
      </c>
      <c r="F12" s="14">
        <f t="shared" si="3"/>
        <v>3590</v>
      </c>
      <c r="G12" s="14">
        <f>6556+110</f>
        <v>6666</v>
      </c>
      <c r="H12" s="14">
        <f>3003+73</f>
        <v>3076</v>
      </c>
      <c r="I12" s="14">
        <f>5148+104</f>
        <v>5252</v>
      </c>
      <c r="J12" s="14">
        <f>2812+69</f>
        <v>2881</v>
      </c>
      <c r="K12" s="20">
        <f t="shared" si="4"/>
        <v>109.37043224055128</v>
      </c>
    </row>
    <row r="13" spans="2:11" ht="15.75" customHeight="1">
      <c r="B13" s="10" t="s">
        <v>7</v>
      </c>
      <c r="C13" s="10"/>
      <c r="D13" s="12">
        <v>144024</v>
      </c>
      <c r="E13" s="14">
        <v>147281</v>
      </c>
      <c r="F13" s="14">
        <f t="shared" si="3"/>
        <v>3257</v>
      </c>
      <c r="G13" s="14">
        <f>18971+767</f>
        <v>19738</v>
      </c>
      <c r="H13" s="14">
        <f>15927+554</f>
        <v>16481</v>
      </c>
      <c r="I13" s="14">
        <f>15746+745</f>
        <v>16491</v>
      </c>
      <c r="J13" s="14">
        <f>13901+494</f>
        <v>14395</v>
      </c>
      <c r="K13" s="20">
        <f t="shared" si="4"/>
        <v>102.26142865078043</v>
      </c>
    </row>
    <row r="14" spans="2:11" ht="15.75" customHeight="1">
      <c r="B14" s="10" t="s">
        <v>8</v>
      </c>
      <c r="C14" s="10"/>
      <c r="D14" s="12">
        <v>88028</v>
      </c>
      <c r="E14" s="14">
        <v>86197</v>
      </c>
      <c r="F14" s="14">
        <f t="shared" si="3"/>
        <v>-1831</v>
      </c>
      <c r="G14" s="14">
        <f>7859+414</f>
        <v>8273</v>
      </c>
      <c r="H14" s="14">
        <f>9615+489</f>
        <v>10104</v>
      </c>
      <c r="I14" s="14">
        <f>6669+375</f>
        <v>7044</v>
      </c>
      <c r="J14" s="14">
        <f>7982+430</f>
        <v>8412</v>
      </c>
      <c r="K14" s="20">
        <f t="shared" si="4"/>
        <v>97.91998000636161</v>
      </c>
    </row>
    <row r="15" spans="2:11" ht="24.75" customHeight="1">
      <c r="B15" s="10" t="s">
        <v>9</v>
      </c>
      <c r="C15" s="10"/>
      <c r="D15" s="12">
        <v>38388</v>
      </c>
      <c r="E15" s="14">
        <v>37388</v>
      </c>
      <c r="F15" s="14">
        <f t="shared" si="3"/>
        <v>-1000</v>
      </c>
      <c r="G15" s="14">
        <f>1626+53</f>
        <v>1679</v>
      </c>
      <c r="H15" s="14">
        <f>2228+451</f>
        <v>2679</v>
      </c>
      <c r="I15" s="14">
        <f>1337+52</f>
        <v>1389</v>
      </c>
      <c r="J15" s="14">
        <f>1950+446</f>
        <v>2396</v>
      </c>
      <c r="K15" s="20">
        <f t="shared" si="4"/>
        <v>97.39501927685735</v>
      </c>
    </row>
    <row r="16" spans="2:11" ht="15.75" customHeight="1">
      <c r="B16" s="10" t="s">
        <v>10</v>
      </c>
      <c r="C16" s="10"/>
      <c r="D16" s="12">
        <v>21221</v>
      </c>
      <c r="E16" s="14">
        <v>21466</v>
      </c>
      <c r="F16" s="14">
        <f t="shared" si="3"/>
        <v>245</v>
      </c>
      <c r="G16" s="14">
        <f>2188+419</f>
        <v>2607</v>
      </c>
      <c r="H16" s="14">
        <f>1626+736</f>
        <v>2362</v>
      </c>
      <c r="I16" s="14">
        <f>2032+397</f>
        <v>2429</v>
      </c>
      <c r="J16" s="14">
        <f>1335+694</f>
        <v>2029</v>
      </c>
      <c r="K16" s="20">
        <f t="shared" si="4"/>
        <v>101.1545167522737</v>
      </c>
    </row>
    <row r="17" spans="2:11" ht="15.75" customHeight="1">
      <c r="B17" s="10" t="s">
        <v>44</v>
      </c>
      <c r="C17" s="10"/>
      <c r="D17" s="12">
        <v>38481</v>
      </c>
      <c r="E17" s="14">
        <v>38581</v>
      </c>
      <c r="F17" s="14">
        <f t="shared" si="3"/>
        <v>100</v>
      </c>
      <c r="G17" s="14">
        <f>50+75</f>
        <v>125</v>
      </c>
      <c r="H17" s="14">
        <f>3+22</f>
        <v>25</v>
      </c>
      <c r="I17" s="14">
        <f>50+75</f>
        <v>125</v>
      </c>
      <c r="J17" s="14">
        <f>3+21</f>
        <v>24</v>
      </c>
      <c r="K17" s="20">
        <f t="shared" si="4"/>
        <v>100.2598685065357</v>
      </c>
    </row>
    <row r="18" spans="2:11" ht="15.75" customHeight="1">
      <c r="B18" s="10" t="s">
        <v>45</v>
      </c>
      <c r="C18" s="10"/>
      <c r="D18" s="12">
        <v>31414</v>
      </c>
      <c r="E18" s="14">
        <v>31375</v>
      </c>
      <c r="F18" s="14">
        <f t="shared" si="3"/>
        <v>-39</v>
      </c>
      <c r="G18" s="14">
        <f>34+78</f>
        <v>112</v>
      </c>
      <c r="H18" s="14">
        <f>20+131</f>
        <v>151</v>
      </c>
      <c r="I18" s="14">
        <f>31+76</f>
        <v>107</v>
      </c>
      <c r="J18" s="14">
        <f>19+128</f>
        <v>147</v>
      </c>
      <c r="K18" s="20">
        <f t="shared" si="4"/>
        <v>99.87585153116444</v>
      </c>
    </row>
    <row r="19" spans="2:11" ht="15.75" customHeight="1">
      <c r="B19" s="10" t="s">
        <v>46</v>
      </c>
      <c r="C19" s="10"/>
      <c r="D19" s="12">
        <v>44745</v>
      </c>
      <c r="E19" s="14">
        <v>44661</v>
      </c>
      <c r="F19" s="14">
        <f t="shared" si="3"/>
        <v>-84</v>
      </c>
      <c r="G19" s="14">
        <f>84+47</f>
        <v>131</v>
      </c>
      <c r="H19" s="14">
        <f>75+140</f>
        <v>215</v>
      </c>
      <c r="I19" s="14">
        <f>83+46</f>
        <v>129</v>
      </c>
      <c r="J19" s="14">
        <f>72+134</f>
        <v>206</v>
      </c>
      <c r="K19" s="20">
        <f t="shared" si="4"/>
        <v>99.81226952732149</v>
      </c>
    </row>
    <row r="20" spans="2:11" ht="15.75" customHeight="1">
      <c r="B20" s="10" t="s">
        <v>47</v>
      </c>
      <c r="C20" s="10"/>
      <c r="D20" s="12">
        <v>33680</v>
      </c>
      <c r="E20" s="14">
        <v>33406</v>
      </c>
      <c r="F20" s="14">
        <f t="shared" si="3"/>
        <v>-274</v>
      </c>
      <c r="G20" s="14">
        <f>2585+63</f>
        <v>2648</v>
      </c>
      <c r="H20" s="14">
        <f>2803+119</f>
        <v>2922</v>
      </c>
      <c r="I20" s="14">
        <f>2356+62</f>
        <v>2418</v>
      </c>
      <c r="J20" s="14">
        <f>2358+106</f>
        <v>2464</v>
      </c>
      <c r="K20" s="20">
        <f t="shared" si="4"/>
        <v>99.18646080760095</v>
      </c>
    </row>
    <row r="21" spans="2:11" ht="30" customHeight="1">
      <c r="B21" s="10" t="s">
        <v>11</v>
      </c>
      <c r="C21" s="10"/>
      <c r="D21" s="12">
        <f aca="true" t="shared" si="5" ref="D21:J21">SUM(D22:D24)</f>
        <v>84217</v>
      </c>
      <c r="E21" s="14">
        <f t="shared" si="5"/>
        <v>71487</v>
      </c>
      <c r="F21" s="14">
        <f t="shared" si="5"/>
        <v>-12730</v>
      </c>
      <c r="G21" s="14">
        <f t="shared" si="5"/>
        <v>14093</v>
      </c>
      <c r="H21" s="14">
        <f t="shared" si="5"/>
        <v>26823</v>
      </c>
      <c r="I21" s="14">
        <f t="shared" si="5"/>
        <v>12324</v>
      </c>
      <c r="J21" s="14">
        <f t="shared" si="5"/>
        <v>23395</v>
      </c>
      <c r="K21" s="20">
        <f aca="true" t="shared" si="6" ref="K21:K34">E21/D21*100</f>
        <v>84.8842870204353</v>
      </c>
    </row>
    <row r="22" spans="2:11" ht="24.75" customHeight="1">
      <c r="B22" s="16" t="s">
        <v>12</v>
      </c>
      <c r="C22" s="15"/>
      <c r="D22" s="12">
        <v>42644</v>
      </c>
      <c r="E22" s="14">
        <v>32644</v>
      </c>
      <c r="F22" s="14">
        <f>E22-D22</f>
        <v>-10000</v>
      </c>
      <c r="G22" s="14">
        <f>4860+39</f>
        <v>4899</v>
      </c>
      <c r="H22" s="14">
        <f>14735+164</f>
        <v>14899</v>
      </c>
      <c r="I22" s="14">
        <f>3948+31</f>
        <v>3979</v>
      </c>
      <c r="J22" s="14">
        <f>12860+145</f>
        <v>13005</v>
      </c>
      <c r="K22" s="20">
        <f t="shared" si="6"/>
        <v>76.55004220992402</v>
      </c>
    </row>
    <row r="23" spans="2:11" ht="15.75" customHeight="1">
      <c r="B23" s="16" t="s">
        <v>13</v>
      </c>
      <c r="C23" s="15"/>
      <c r="D23" s="12">
        <v>29066</v>
      </c>
      <c r="E23" s="14">
        <v>28103</v>
      </c>
      <c r="F23" s="14">
        <f>E23-D23</f>
        <v>-963</v>
      </c>
      <c r="G23" s="14">
        <f>7370+37</f>
        <v>7407</v>
      </c>
      <c r="H23" s="14">
        <f>8237+133</f>
        <v>8370</v>
      </c>
      <c r="I23" s="14">
        <f>6972+24</f>
        <v>6996</v>
      </c>
      <c r="J23" s="14">
        <f>7129+121</f>
        <v>7250</v>
      </c>
      <c r="K23" s="20">
        <f t="shared" si="6"/>
        <v>96.68685061583982</v>
      </c>
    </row>
    <row r="24" spans="2:11" ht="15.75" customHeight="1">
      <c r="B24" s="16" t="s">
        <v>14</v>
      </c>
      <c r="C24" s="15"/>
      <c r="D24" s="12">
        <v>12507</v>
      </c>
      <c r="E24" s="14">
        <v>10740</v>
      </c>
      <c r="F24" s="14">
        <f>E24-D24</f>
        <v>-1767</v>
      </c>
      <c r="G24" s="14">
        <f>1781+6</f>
        <v>1787</v>
      </c>
      <c r="H24" s="14">
        <f>3513+41</f>
        <v>3554</v>
      </c>
      <c r="I24" s="14">
        <f>1343+6</f>
        <v>1349</v>
      </c>
      <c r="J24" s="14">
        <f>3099+41</f>
        <v>3140</v>
      </c>
      <c r="K24" s="20">
        <f t="shared" si="6"/>
        <v>85.87191172943152</v>
      </c>
    </row>
    <row r="25" spans="2:11" ht="30" customHeight="1">
      <c r="B25" s="10" t="s">
        <v>15</v>
      </c>
      <c r="C25" s="10"/>
      <c r="D25" s="12">
        <f>SUM(D26:D28)</f>
        <v>40182</v>
      </c>
      <c r="E25" s="14">
        <f aca="true" t="shared" si="7" ref="E25:J25">SUM(E26:E28)</f>
        <v>36010</v>
      </c>
      <c r="F25" s="14">
        <f t="shared" si="7"/>
        <v>-4172</v>
      </c>
      <c r="G25" s="14">
        <f t="shared" si="7"/>
        <v>5388</v>
      </c>
      <c r="H25" s="14">
        <f t="shared" si="7"/>
        <v>9560</v>
      </c>
      <c r="I25" s="14">
        <f t="shared" si="7"/>
        <v>4787</v>
      </c>
      <c r="J25" s="14">
        <f t="shared" si="7"/>
        <v>8122</v>
      </c>
      <c r="K25" s="20">
        <f t="shared" si="6"/>
        <v>89.6172415509432</v>
      </c>
    </row>
    <row r="26" spans="2:11" ht="24.75" customHeight="1">
      <c r="B26" s="15" t="s">
        <v>16</v>
      </c>
      <c r="C26" s="15"/>
      <c r="D26" s="12">
        <v>9657</v>
      </c>
      <c r="E26" s="14">
        <v>8327</v>
      </c>
      <c r="F26" s="14">
        <f>E26-D26</f>
        <v>-1330</v>
      </c>
      <c r="G26" s="14">
        <f>1052+79</f>
        <v>1131</v>
      </c>
      <c r="H26" s="14">
        <f>2258+203</f>
        <v>2461</v>
      </c>
      <c r="I26" s="14">
        <f>1049+79</f>
        <v>1128</v>
      </c>
      <c r="J26" s="14">
        <f>1836+168</f>
        <v>2004</v>
      </c>
      <c r="K26" s="20">
        <f t="shared" si="6"/>
        <v>86.2276069172621</v>
      </c>
    </row>
    <row r="27" spans="2:11" ht="15.75" customHeight="1">
      <c r="B27" s="15" t="s">
        <v>17</v>
      </c>
      <c r="C27" s="15"/>
      <c r="D27" s="12">
        <v>15158</v>
      </c>
      <c r="E27" s="14">
        <v>13886</v>
      </c>
      <c r="F27" s="14">
        <f>E27-D27</f>
        <v>-1272</v>
      </c>
      <c r="G27" s="14">
        <f>2277+149</f>
        <v>2426</v>
      </c>
      <c r="H27" s="14">
        <f>3445+253</f>
        <v>3698</v>
      </c>
      <c r="I27" s="14">
        <f>1884+147</f>
        <v>2031</v>
      </c>
      <c r="J27" s="14">
        <f>3042+234</f>
        <v>3276</v>
      </c>
      <c r="K27" s="20">
        <f t="shared" si="6"/>
        <v>91.6083916083916</v>
      </c>
    </row>
    <row r="28" spans="2:11" ht="15.75" customHeight="1">
      <c r="B28" s="15" t="s">
        <v>18</v>
      </c>
      <c r="C28" s="15"/>
      <c r="D28" s="12">
        <v>15367</v>
      </c>
      <c r="E28" s="14">
        <v>13797</v>
      </c>
      <c r="F28" s="14">
        <f>E28-D28</f>
        <v>-1570</v>
      </c>
      <c r="G28" s="14">
        <f>1358+473</f>
        <v>1831</v>
      </c>
      <c r="H28" s="14">
        <f>2583+818</f>
        <v>3401</v>
      </c>
      <c r="I28" s="14">
        <f>1156+472</f>
        <v>1628</v>
      </c>
      <c r="J28" s="14">
        <f>2126+716</f>
        <v>2842</v>
      </c>
      <c r="K28" s="20">
        <f t="shared" si="6"/>
        <v>89.78330188065334</v>
      </c>
    </row>
    <row r="29" spans="2:11" ht="30" customHeight="1">
      <c r="B29" s="10" t="s">
        <v>19</v>
      </c>
      <c r="C29" s="13"/>
      <c r="D29" s="12">
        <f>SUM(D30:D45)</f>
        <v>115772</v>
      </c>
      <c r="E29" s="14">
        <f aca="true" t="shared" si="8" ref="E29:J29">SUM(E30:E45)</f>
        <v>108176</v>
      </c>
      <c r="F29" s="14">
        <f t="shared" si="8"/>
        <v>-7596</v>
      </c>
      <c r="G29" s="14">
        <f t="shared" si="8"/>
        <v>16228</v>
      </c>
      <c r="H29" s="14">
        <f t="shared" si="8"/>
        <v>23824</v>
      </c>
      <c r="I29" s="14">
        <f t="shared" si="8"/>
        <v>14704</v>
      </c>
      <c r="J29" s="14">
        <f t="shared" si="8"/>
        <v>20010</v>
      </c>
      <c r="K29" s="20">
        <f t="shared" si="6"/>
        <v>93.4388280413226</v>
      </c>
    </row>
    <row r="30" spans="2:11" ht="24.75" customHeight="1">
      <c r="B30" s="15" t="s">
        <v>20</v>
      </c>
      <c r="C30" s="15"/>
      <c r="D30" s="12">
        <v>11729</v>
      </c>
      <c r="E30" s="14">
        <v>10891</v>
      </c>
      <c r="F30" s="14">
        <f>E30-D30</f>
        <v>-838</v>
      </c>
      <c r="G30" s="14">
        <f>1589+4</f>
        <v>1593</v>
      </c>
      <c r="H30" s="14">
        <f>2371+60</f>
        <v>2431</v>
      </c>
      <c r="I30" s="14">
        <f>1585+4</f>
        <v>1589</v>
      </c>
      <c r="J30" s="14">
        <f>1953+52</f>
        <v>2005</v>
      </c>
      <c r="K30" s="20">
        <f t="shared" si="6"/>
        <v>92.85531588370705</v>
      </c>
    </row>
    <row r="31" spans="2:11" ht="15.75" customHeight="1">
      <c r="B31" s="15" t="s">
        <v>21</v>
      </c>
      <c r="C31" s="15"/>
      <c r="D31" s="12">
        <v>11151</v>
      </c>
      <c r="E31" s="14">
        <v>10363</v>
      </c>
      <c r="F31" s="14">
        <f>E31-D31</f>
        <v>-788</v>
      </c>
      <c r="G31" s="14">
        <f>1486+13</f>
        <v>1499</v>
      </c>
      <c r="H31" s="14">
        <f>2256+31</f>
        <v>2287</v>
      </c>
      <c r="I31" s="14">
        <f>1189+12</f>
        <v>1201</v>
      </c>
      <c r="J31" s="14">
        <f>1988+26</f>
        <v>2014</v>
      </c>
      <c r="K31" s="20">
        <f t="shared" si="6"/>
        <v>92.93336920455565</v>
      </c>
    </row>
    <row r="32" spans="2:11" ht="15.75" customHeight="1">
      <c r="B32" s="15" t="s">
        <v>22</v>
      </c>
      <c r="C32" s="15"/>
      <c r="D32" s="12">
        <v>5776</v>
      </c>
      <c r="E32" s="14">
        <v>5469</v>
      </c>
      <c r="F32" s="14">
        <f>E32-D32</f>
        <v>-307</v>
      </c>
      <c r="G32" s="14">
        <f>1086+5</f>
        <v>1091</v>
      </c>
      <c r="H32" s="14">
        <f>1382+16</f>
        <v>1398</v>
      </c>
      <c r="I32" s="14">
        <f>1084+5</f>
        <v>1089</v>
      </c>
      <c r="J32" s="14">
        <f>1162+16</f>
        <v>1178</v>
      </c>
      <c r="K32" s="20">
        <f t="shared" si="6"/>
        <v>94.68490304709142</v>
      </c>
    </row>
    <row r="33" spans="2:11" ht="15.75" customHeight="1">
      <c r="B33" s="15" t="s">
        <v>23</v>
      </c>
      <c r="C33" s="15"/>
      <c r="D33" s="12">
        <v>7330</v>
      </c>
      <c r="E33" s="14">
        <v>6142</v>
      </c>
      <c r="F33" s="14">
        <f>E33-D33</f>
        <v>-1188</v>
      </c>
      <c r="G33" s="14">
        <f>781+3</f>
        <v>784</v>
      </c>
      <c r="H33" s="14">
        <f>1954+18</f>
        <v>1972</v>
      </c>
      <c r="I33" s="14">
        <f>774+3</f>
        <v>777</v>
      </c>
      <c r="J33" s="14">
        <f>1611+16</f>
        <v>1627</v>
      </c>
      <c r="K33" s="20">
        <f t="shared" si="6"/>
        <v>83.79263301500683</v>
      </c>
    </row>
    <row r="34" spans="1:11" ht="15.75" customHeight="1">
      <c r="A34" s="14"/>
      <c r="B34" s="16" t="s">
        <v>49</v>
      </c>
      <c r="C34" s="16"/>
      <c r="D34" s="12">
        <v>5191</v>
      </c>
      <c r="E34" s="14">
        <v>5313</v>
      </c>
      <c r="F34" s="14">
        <f>E34-D34</f>
        <v>122</v>
      </c>
      <c r="G34" s="14">
        <f>1608+8</f>
        <v>1616</v>
      </c>
      <c r="H34" s="14">
        <f>1472+22</f>
        <v>1494</v>
      </c>
      <c r="I34" s="14">
        <f>1602+8</f>
        <v>1610</v>
      </c>
      <c r="J34" s="14">
        <f>1289+20</f>
        <v>1309</v>
      </c>
      <c r="K34" s="20">
        <f t="shared" si="6"/>
        <v>102.35022153727607</v>
      </c>
    </row>
    <row r="35" spans="1:11" ht="15.75" customHeight="1">
      <c r="A35" s="14"/>
      <c r="B35" s="16" t="s">
        <v>48</v>
      </c>
      <c r="C35" s="16"/>
      <c r="D35" s="12">
        <v>5456</v>
      </c>
      <c r="E35" s="14">
        <v>4371</v>
      </c>
      <c r="F35" s="14">
        <f aca="true" t="shared" si="9" ref="F35:F45">E35-D35</f>
        <v>-1085</v>
      </c>
      <c r="G35" s="14">
        <v>412</v>
      </c>
      <c r="H35" s="14">
        <f>1473+24</f>
        <v>1497</v>
      </c>
      <c r="I35" s="14">
        <v>405</v>
      </c>
      <c r="J35" s="14">
        <f>1231+22</f>
        <v>1253</v>
      </c>
      <c r="K35" s="20">
        <f aca="true" t="shared" si="10" ref="K35:K56">E35/D35*100</f>
        <v>80.11363636363636</v>
      </c>
    </row>
    <row r="36" spans="1:11" ht="15.75" customHeight="1">
      <c r="A36" s="14"/>
      <c r="B36" s="16" t="s">
        <v>50</v>
      </c>
      <c r="C36" s="16"/>
      <c r="D36" s="12">
        <v>10623</v>
      </c>
      <c r="E36" s="14">
        <v>11131</v>
      </c>
      <c r="F36" s="14">
        <f t="shared" si="9"/>
        <v>508</v>
      </c>
      <c r="G36" s="14">
        <f>1903+13</f>
        <v>1916</v>
      </c>
      <c r="H36" s="14">
        <f>1350+58</f>
        <v>1408</v>
      </c>
      <c r="I36" s="14">
        <f>1659+13</f>
        <v>1672</v>
      </c>
      <c r="J36" s="14">
        <f>1131+39</f>
        <v>1170</v>
      </c>
      <c r="K36" s="20">
        <f t="shared" si="10"/>
        <v>104.78207662618846</v>
      </c>
    </row>
    <row r="37" spans="1:11" ht="15.75" customHeight="1">
      <c r="A37" s="14"/>
      <c r="B37" s="16" t="s">
        <v>51</v>
      </c>
      <c r="C37" s="16"/>
      <c r="D37" s="12">
        <v>4471</v>
      </c>
      <c r="E37" s="14">
        <v>3960</v>
      </c>
      <c r="F37" s="14">
        <f t="shared" si="9"/>
        <v>-511</v>
      </c>
      <c r="G37" s="14">
        <f>301+9</f>
        <v>310</v>
      </c>
      <c r="H37" s="14">
        <f>799+22</f>
        <v>821</v>
      </c>
      <c r="I37" s="14">
        <f>294+9</f>
        <v>303</v>
      </c>
      <c r="J37" s="14">
        <f>609+19</f>
        <v>628</v>
      </c>
      <c r="K37" s="20">
        <f t="shared" si="10"/>
        <v>88.57078953254306</v>
      </c>
    </row>
    <row r="38" spans="1:11" ht="15.75" customHeight="1">
      <c r="A38" s="14"/>
      <c r="B38" s="16" t="s">
        <v>52</v>
      </c>
      <c r="C38" s="16"/>
      <c r="D38" s="12">
        <v>7722</v>
      </c>
      <c r="E38" s="14">
        <v>6980</v>
      </c>
      <c r="F38" s="14">
        <f t="shared" si="9"/>
        <v>-742</v>
      </c>
      <c r="G38" s="14">
        <f>550+5</f>
        <v>555</v>
      </c>
      <c r="H38" s="14">
        <f>1144+153</f>
        <v>1297</v>
      </c>
      <c r="I38" s="14">
        <f>537+5</f>
        <v>542</v>
      </c>
      <c r="J38" s="14">
        <f>910+147</f>
        <v>1057</v>
      </c>
      <c r="K38" s="20">
        <f t="shared" si="10"/>
        <v>90.39109039109039</v>
      </c>
    </row>
    <row r="39" spans="1:11" ht="15.75" customHeight="1">
      <c r="A39" s="14"/>
      <c r="B39" s="16" t="s">
        <v>53</v>
      </c>
      <c r="C39" s="16"/>
      <c r="D39" s="12">
        <v>6286</v>
      </c>
      <c r="E39" s="14">
        <v>6813</v>
      </c>
      <c r="F39" s="14">
        <f t="shared" si="9"/>
        <v>527</v>
      </c>
      <c r="G39" s="14">
        <f>1432+7</f>
        <v>1439</v>
      </c>
      <c r="H39" s="14">
        <f>767+145</f>
        <v>912</v>
      </c>
      <c r="I39" s="14">
        <f>916+4</f>
        <v>920</v>
      </c>
      <c r="J39" s="14">
        <f>716+143</f>
        <v>859</v>
      </c>
      <c r="K39" s="20">
        <f t="shared" si="10"/>
        <v>108.3837098313713</v>
      </c>
    </row>
    <row r="40" spans="1:11" ht="15.75" customHeight="1">
      <c r="A40" s="14"/>
      <c r="B40" s="16" t="s">
        <v>54</v>
      </c>
      <c r="C40" s="16"/>
      <c r="D40" s="12">
        <v>5901</v>
      </c>
      <c r="E40" s="14">
        <v>5761</v>
      </c>
      <c r="F40" s="14">
        <f t="shared" si="9"/>
        <v>-140</v>
      </c>
      <c r="G40" s="14">
        <f>869+3</f>
        <v>872</v>
      </c>
      <c r="H40" s="14">
        <f>918+94</f>
        <v>1012</v>
      </c>
      <c r="I40" s="14">
        <f>713+3</f>
        <v>716</v>
      </c>
      <c r="J40" s="14">
        <f>765+94</f>
        <v>859</v>
      </c>
      <c r="K40" s="20">
        <f t="shared" si="10"/>
        <v>97.62752075919336</v>
      </c>
    </row>
    <row r="41" spans="1:11" ht="15.75" customHeight="1">
      <c r="A41" s="14"/>
      <c r="B41" s="16" t="s">
        <v>55</v>
      </c>
      <c r="C41" s="16"/>
      <c r="D41" s="12">
        <v>4149</v>
      </c>
      <c r="E41" s="14">
        <v>3666</v>
      </c>
      <c r="F41" s="14">
        <f t="shared" si="9"/>
        <v>-483</v>
      </c>
      <c r="G41" s="14">
        <f>354+4</f>
        <v>358</v>
      </c>
      <c r="H41" s="14">
        <f>828+13</f>
        <v>841</v>
      </c>
      <c r="I41" s="14">
        <f>352+4</f>
        <v>356</v>
      </c>
      <c r="J41" s="14">
        <f>642+13</f>
        <v>655</v>
      </c>
      <c r="K41" s="20">
        <f t="shared" si="10"/>
        <v>88.3586406362979</v>
      </c>
    </row>
    <row r="42" spans="1:11" ht="15.75" customHeight="1">
      <c r="A42" s="14"/>
      <c r="B42" s="16" t="s">
        <v>56</v>
      </c>
      <c r="C42" s="16"/>
      <c r="D42" s="12">
        <v>8197</v>
      </c>
      <c r="E42" s="14">
        <v>7667</v>
      </c>
      <c r="F42" s="14">
        <f t="shared" si="9"/>
        <v>-530</v>
      </c>
      <c r="G42" s="14">
        <f>951+4</f>
        <v>955</v>
      </c>
      <c r="H42" s="14">
        <f>1424+61</f>
        <v>1485</v>
      </c>
      <c r="I42" s="14">
        <f>707+4</f>
        <v>711</v>
      </c>
      <c r="J42" s="14">
        <f>1256+61</f>
        <v>1317</v>
      </c>
      <c r="K42" s="20">
        <f t="shared" si="10"/>
        <v>93.53421983652555</v>
      </c>
    </row>
    <row r="43" spans="1:11" ht="15.75" customHeight="1">
      <c r="A43" s="14"/>
      <c r="B43" s="16" t="s">
        <v>57</v>
      </c>
      <c r="C43" s="16"/>
      <c r="D43" s="12">
        <v>8847</v>
      </c>
      <c r="E43" s="14">
        <v>8358</v>
      </c>
      <c r="F43" s="14">
        <f t="shared" si="9"/>
        <v>-489</v>
      </c>
      <c r="G43" s="14">
        <f>1220+5</f>
        <v>1225</v>
      </c>
      <c r="H43" s="14">
        <f>1692+22</f>
        <v>1714</v>
      </c>
      <c r="I43" s="14">
        <f>1215+4</f>
        <v>1219</v>
      </c>
      <c r="J43" s="14">
        <f>1336+22</f>
        <v>1358</v>
      </c>
      <c r="K43" s="20">
        <f t="shared" si="10"/>
        <v>94.47270261105459</v>
      </c>
    </row>
    <row r="44" spans="1:11" ht="15.75" customHeight="1">
      <c r="A44" s="14"/>
      <c r="B44" s="16" t="s">
        <v>58</v>
      </c>
      <c r="C44" s="16"/>
      <c r="D44" s="12">
        <v>4715</v>
      </c>
      <c r="E44" s="14">
        <v>4078</v>
      </c>
      <c r="F44" s="14">
        <f t="shared" si="9"/>
        <v>-637</v>
      </c>
      <c r="G44" s="14">
        <f>525+2</f>
        <v>527</v>
      </c>
      <c r="H44" s="14">
        <f>1154+10</f>
        <v>1164</v>
      </c>
      <c r="I44" s="14">
        <f>521+1</f>
        <v>522</v>
      </c>
      <c r="J44" s="14">
        <f>953+10</f>
        <v>963</v>
      </c>
      <c r="K44" s="20">
        <f t="shared" si="10"/>
        <v>86.4899257688229</v>
      </c>
    </row>
    <row r="45" spans="1:11" ht="15.75" customHeight="1">
      <c r="A45" s="14"/>
      <c r="B45" s="16" t="s">
        <v>59</v>
      </c>
      <c r="C45" s="16"/>
      <c r="D45" s="12">
        <v>8228</v>
      </c>
      <c r="E45" s="14">
        <v>7213</v>
      </c>
      <c r="F45" s="14">
        <f t="shared" si="9"/>
        <v>-1015</v>
      </c>
      <c r="G45" s="14">
        <f>1073+3</f>
        <v>1076</v>
      </c>
      <c r="H45" s="14">
        <f>2066+25</f>
        <v>2091</v>
      </c>
      <c r="I45" s="14">
        <f>1070+2</f>
        <v>1072</v>
      </c>
      <c r="J45" s="14">
        <f>1734+24</f>
        <v>1758</v>
      </c>
      <c r="K45" s="20">
        <f t="shared" si="10"/>
        <v>87.66407389402042</v>
      </c>
    </row>
    <row r="46" spans="1:11" ht="30" customHeight="1">
      <c r="A46" s="14"/>
      <c r="B46" s="10" t="s">
        <v>24</v>
      </c>
      <c r="C46" s="16"/>
      <c r="D46" s="12">
        <f>SUM(D47:D54)</f>
        <v>44270</v>
      </c>
      <c r="E46" s="14">
        <f aca="true" t="shared" si="11" ref="E46:J46">SUM(E47:E54)</f>
        <v>41568</v>
      </c>
      <c r="F46" s="14">
        <f t="shared" si="11"/>
        <v>-2702</v>
      </c>
      <c r="G46" s="14">
        <f t="shared" si="11"/>
        <v>6640</v>
      </c>
      <c r="H46" s="14">
        <f t="shared" si="11"/>
        <v>9342</v>
      </c>
      <c r="I46" s="14">
        <f t="shared" si="11"/>
        <v>5780</v>
      </c>
      <c r="J46" s="14">
        <f t="shared" si="11"/>
        <v>8197</v>
      </c>
      <c r="K46" s="20">
        <f t="shared" si="10"/>
        <v>93.89654393494466</v>
      </c>
    </row>
    <row r="47" spans="1:11" ht="24.75" customHeight="1">
      <c r="A47" s="14"/>
      <c r="B47" s="15" t="s">
        <v>25</v>
      </c>
      <c r="C47" s="16"/>
      <c r="D47" s="12">
        <v>3268</v>
      </c>
      <c r="E47" s="14">
        <v>3242</v>
      </c>
      <c r="F47" s="14">
        <f aca="true" t="shared" si="12" ref="F47:F54">E47-D47</f>
        <v>-26</v>
      </c>
      <c r="G47" s="14">
        <f>6+2</f>
        <v>8</v>
      </c>
      <c r="H47" s="14">
        <f>7+27</f>
        <v>34</v>
      </c>
      <c r="I47" s="14">
        <f>6+2</f>
        <v>8</v>
      </c>
      <c r="J47" s="14">
        <f>5+18</f>
        <v>23</v>
      </c>
      <c r="K47" s="20">
        <f t="shared" si="10"/>
        <v>99.20440636474909</v>
      </c>
    </row>
    <row r="48" spans="1:11" ht="15.75" customHeight="1">
      <c r="A48" s="14"/>
      <c r="B48" s="15" t="s">
        <v>26</v>
      </c>
      <c r="C48" s="16"/>
      <c r="D48" s="12">
        <v>3239</v>
      </c>
      <c r="E48" s="14">
        <v>3164</v>
      </c>
      <c r="F48" s="14">
        <f t="shared" si="12"/>
        <v>-75</v>
      </c>
      <c r="G48" s="14">
        <f>5+3</f>
        <v>8</v>
      </c>
      <c r="H48" s="14">
        <f>5+78</f>
        <v>83</v>
      </c>
      <c r="I48" s="14">
        <f>5+3</f>
        <v>8</v>
      </c>
      <c r="J48" s="14">
        <f>5+77</f>
        <v>82</v>
      </c>
      <c r="K48" s="20">
        <f t="shared" si="10"/>
        <v>97.68447051559124</v>
      </c>
    </row>
    <row r="49" spans="1:11" ht="15.75" customHeight="1">
      <c r="A49" s="14"/>
      <c r="B49" s="15" t="s">
        <v>27</v>
      </c>
      <c r="C49" s="16"/>
      <c r="D49" s="12">
        <v>3202</v>
      </c>
      <c r="E49" s="14">
        <v>2791</v>
      </c>
      <c r="F49" s="14">
        <f t="shared" si="12"/>
        <v>-411</v>
      </c>
      <c r="G49" s="14">
        <f>58+163</f>
        <v>221</v>
      </c>
      <c r="H49" s="14">
        <f>119+513</f>
        <v>632</v>
      </c>
      <c r="I49" s="14">
        <f>58+163</f>
        <v>221</v>
      </c>
      <c r="J49" s="14">
        <f>59+467</f>
        <v>526</v>
      </c>
      <c r="K49" s="20">
        <f t="shared" si="10"/>
        <v>87.16427232979387</v>
      </c>
    </row>
    <row r="50" spans="1:11" ht="15.75" customHeight="1">
      <c r="A50" s="14"/>
      <c r="B50" s="15" t="s">
        <v>28</v>
      </c>
      <c r="C50" s="16"/>
      <c r="D50" s="12">
        <v>2570</v>
      </c>
      <c r="E50" s="14">
        <v>2534</v>
      </c>
      <c r="F50" s="14">
        <f t="shared" si="12"/>
        <v>-36</v>
      </c>
      <c r="G50" s="14">
        <f>39+18</f>
        <v>57</v>
      </c>
      <c r="H50" s="14">
        <f>80+13</f>
        <v>93</v>
      </c>
      <c r="I50" s="14">
        <f>39+17</f>
        <v>56</v>
      </c>
      <c r="J50" s="14">
        <f>41+13</f>
        <v>54</v>
      </c>
      <c r="K50" s="20">
        <f t="shared" si="10"/>
        <v>98.59922178988327</v>
      </c>
    </row>
    <row r="51" spans="1:11" ht="15.75" customHeight="1">
      <c r="A51" s="14"/>
      <c r="B51" s="15" t="s">
        <v>29</v>
      </c>
      <c r="C51" s="16"/>
      <c r="D51" s="12">
        <v>5922</v>
      </c>
      <c r="E51" s="14">
        <v>6071</v>
      </c>
      <c r="F51" s="14">
        <f t="shared" si="12"/>
        <v>149</v>
      </c>
      <c r="G51" s="14">
        <f>1582+16</f>
        <v>1598</v>
      </c>
      <c r="H51" s="14">
        <f>1422+27</f>
        <v>1449</v>
      </c>
      <c r="I51" s="14">
        <f>1558+14</f>
        <v>1572</v>
      </c>
      <c r="J51" s="14">
        <f>1219+26</f>
        <v>1245</v>
      </c>
      <c r="K51" s="20">
        <f t="shared" si="10"/>
        <v>102.51604187774402</v>
      </c>
    </row>
    <row r="52" spans="1:11" ht="15.75" customHeight="1">
      <c r="A52" s="14"/>
      <c r="B52" s="15" t="s">
        <v>30</v>
      </c>
      <c r="C52" s="16"/>
      <c r="D52" s="12">
        <v>5390</v>
      </c>
      <c r="E52" s="14">
        <v>5049</v>
      </c>
      <c r="F52" s="14">
        <f t="shared" si="12"/>
        <v>-341</v>
      </c>
      <c r="G52" s="14">
        <f>969+4</f>
        <v>973</v>
      </c>
      <c r="H52" s="14">
        <f>1303+11</f>
        <v>1314</v>
      </c>
      <c r="I52" s="14">
        <f>604+4</f>
        <v>608</v>
      </c>
      <c r="J52" s="14">
        <f>1169+11</f>
        <v>1180</v>
      </c>
      <c r="K52" s="20">
        <f t="shared" si="10"/>
        <v>93.6734693877551</v>
      </c>
    </row>
    <row r="53" spans="1:11" ht="15.75" customHeight="1">
      <c r="A53" s="14"/>
      <c r="B53" s="15" t="s">
        <v>31</v>
      </c>
      <c r="C53" s="16"/>
      <c r="D53" s="12">
        <v>6982</v>
      </c>
      <c r="E53" s="14">
        <v>6068</v>
      </c>
      <c r="F53" s="14">
        <f t="shared" si="12"/>
        <v>-914</v>
      </c>
      <c r="G53" s="14">
        <f>890+6</f>
        <v>896</v>
      </c>
      <c r="H53" s="14">
        <f>1774+36</f>
        <v>1810</v>
      </c>
      <c r="I53" s="14">
        <f>887+6</f>
        <v>893</v>
      </c>
      <c r="J53" s="14">
        <f>1506+34</f>
        <v>1540</v>
      </c>
      <c r="K53" s="20">
        <f t="shared" si="10"/>
        <v>86.90919507304497</v>
      </c>
    </row>
    <row r="54" spans="1:11" ht="15.75" customHeight="1">
      <c r="A54" s="14"/>
      <c r="B54" s="15" t="s">
        <v>32</v>
      </c>
      <c r="C54" s="16"/>
      <c r="D54" s="12">
        <v>13697</v>
      </c>
      <c r="E54" s="14">
        <v>12649</v>
      </c>
      <c r="F54" s="14">
        <f t="shared" si="12"/>
        <v>-1048</v>
      </c>
      <c r="G54" s="14">
        <f>2852+27</f>
        <v>2879</v>
      </c>
      <c r="H54" s="14">
        <f>3847+80</f>
        <v>3927</v>
      </c>
      <c r="I54" s="14">
        <f>2387+27</f>
        <v>2414</v>
      </c>
      <c r="J54" s="14">
        <f>3473+74</f>
        <v>3547</v>
      </c>
      <c r="K54" s="20">
        <f t="shared" si="10"/>
        <v>92.3486894940498</v>
      </c>
    </row>
    <row r="55" spans="1:11" ht="30" customHeight="1">
      <c r="A55" s="14"/>
      <c r="B55" s="10" t="s">
        <v>33</v>
      </c>
      <c r="C55" s="16"/>
      <c r="D55" s="12">
        <f>SUM(D56)</f>
        <v>25039</v>
      </c>
      <c r="E55" s="14">
        <f aca="true" t="shared" si="13" ref="E55:J55">SUM(E56)</f>
        <v>24789</v>
      </c>
      <c r="F55" s="14">
        <f t="shared" si="13"/>
        <v>-250</v>
      </c>
      <c r="G55" s="14">
        <f t="shared" si="13"/>
        <v>116</v>
      </c>
      <c r="H55" s="14">
        <f t="shared" si="13"/>
        <v>366</v>
      </c>
      <c r="I55" s="14">
        <f t="shared" si="13"/>
        <v>115</v>
      </c>
      <c r="J55" s="14">
        <f t="shared" si="13"/>
        <v>366</v>
      </c>
      <c r="K55" s="20">
        <f t="shared" si="10"/>
        <v>99.0015575701905</v>
      </c>
    </row>
    <row r="56" spans="1:11" ht="15.75" customHeight="1">
      <c r="A56" s="14"/>
      <c r="B56" s="16" t="s">
        <v>60</v>
      </c>
      <c r="C56" s="16"/>
      <c r="D56" s="12">
        <v>25039</v>
      </c>
      <c r="E56" s="14">
        <v>24789</v>
      </c>
      <c r="F56" s="14">
        <f>E56-D56</f>
        <v>-250</v>
      </c>
      <c r="G56" s="14">
        <f>106+10</f>
        <v>116</v>
      </c>
      <c r="H56" s="14">
        <f>68+298</f>
        <v>366</v>
      </c>
      <c r="I56" s="14">
        <f>106+9</f>
        <v>115</v>
      </c>
      <c r="J56" s="14">
        <f>68+298</f>
        <v>366</v>
      </c>
      <c r="K56" s="20">
        <f t="shared" si="10"/>
        <v>99.0015575701905</v>
      </c>
    </row>
    <row r="57" spans="1:11" ht="9.75" customHeight="1" thickBot="1">
      <c r="A57" s="4"/>
      <c r="B57" s="17"/>
      <c r="C57" s="17"/>
      <c r="D57" s="18"/>
      <c r="E57" s="4"/>
      <c r="F57" s="4"/>
      <c r="G57" s="4"/>
      <c r="H57" s="4"/>
      <c r="I57" s="4"/>
      <c r="J57" s="4"/>
      <c r="K57" s="5"/>
    </row>
    <row r="58" ht="15" customHeight="1">
      <c r="B58" s="2" t="s">
        <v>43</v>
      </c>
    </row>
    <row r="59" ht="15" customHeight="1">
      <c r="B59" s="2" t="s">
        <v>42</v>
      </c>
    </row>
    <row r="60" ht="15" customHeight="1">
      <c r="B60" s="2" t="s">
        <v>41</v>
      </c>
    </row>
  </sheetData>
  <mergeCells count="7">
    <mergeCell ref="K3:K4"/>
    <mergeCell ref="I3:J3"/>
    <mergeCell ref="G3:H3"/>
    <mergeCell ref="B3:B4"/>
    <mergeCell ref="D3:D4"/>
    <mergeCell ref="E3:E4"/>
    <mergeCell ref="F3:F4"/>
  </mergeCells>
  <printOptions/>
  <pageMargins left="0.3937007874015748" right="0.3937007874015748" top="0.3937007874015748" bottom="0" header="0.5118110236220472" footer="0.5118110236220472"/>
  <pageSetup horizontalDpi="400" verticalDpi="400" orientation="portrait" paperSize="9" scale="70" r:id="rId1"/>
  <ignoredErrors>
    <ignoredError sqref="F25:F28 G21 G25 H21 F21 F22:F24 H25 F30:F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2007-10-15T00:44:34Z</cp:lastPrinted>
  <dcterms:modified xsi:type="dcterms:W3CDTF">2007-11-09T06:37:28Z</dcterms:modified>
  <cp:category/>
  <cp:version/>
  <cp:contentType/>
  <cp:contentStatus/>
</cp:coreProperties>
</file>